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ON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<sst xmlns="http://schemas.openxmlformats.org/spreadsheetml/2006/main" count="675" uniqueCount="511">
  <si>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</si>
  <si>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</si>
  <si>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</si>
  <si>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</si>
  <si>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</si>
  <si>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</si>
  <si>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EJECUCION</t>
  </si>
  <si>
    <t>TOTAL</t>
  </si>
  <si>
    <t xml:space="preserve">% </t>
  </si>
  <si>
    <t>%</t>
  </si>
  <si>
    <t xml:space="preserve"> Gasto Anual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</si>
  <si>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</si>
  <si>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</si>
  <si>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</si>
  <si>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</si>
  <si>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</si>
  <si>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</si>
  <si>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</si>
  <si>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</si>
  <si>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</si>
  <si>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Remuneraciones al Personal Fijo</t>
  </si>
  <si>
    <t>Sueldos fijos</t>
  </si>
  <si>
    <t>Sueldo Anual No.13 (Regalia)</t>
  </si>
  <si>
    <t>Compensación por gastos de alimentación</t>
  </si>
  <si>
    <t>Bono Escolar</t>
  </si>
  <si>
    <t>Contribuciones al seguro de salud</t>
  </si>
  <si>
    <t>Contribuciones al seguro de pensiones</t>
  </si>
  <si>
    <t>2.2.1</t>
  </si>
  <si>
    <t>Servicios Basicos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</si>
  <si>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</si>
  <si>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</si>
  <si>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</si>
  <si>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</si>
  <si>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</si>
  <si>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</si>
  <si>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</si>
  <si>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Impresión y encuadernacion</t>
  </si>
  <si>
    <t>Publicidad y propaganda</t>
  </si>
  <si>
    <t>2.2.3</t>
  </si>
  <si>
    <t>Viaticos</t>
  </si>
  <si>
    <t>Viáticos dentro del país</t>
  </si>
  <si>
    <t>Viáticos fuera del país</t>
  </si>
  <si>
    <t>2.2.4</t>
  </si>
  <si>
    <t>Transporte y Almacenaje</t>
  </si>
  <si>
    <t>Fletes</t>
  </si>
  <si>
    <t>.22.4.4.01</t>
  </si>
  <si>
    <t>Peajes</t>
  </si>
  <si>
    <t>2.2.5</t>
  </si>
  <si>
    <t xml:space="preserve">Alquileres y Rentas  </t>
  </si>
  <si>
    <t>Alquileres y rentas de edificios y locales</t>
  </si>
  <si>
    <t>2.2.6</t>
  </si>
  <si>
    <t>Seguros</t>
  </si>
  <si>
    <t>Seguro de bienes muebles</t>
  </si>
  <si>
    <t>2.2.7</t>
  </si>
  <si>
    <t>Instalaciones Temporales</t>
  </si>
  <si>
    <t>Obras menores en edificaciones</t>
  </si>
  <si>
    <t>Servicios de pintura y derivados con fin de higiene y embellecimiento</t>
  </si>
  <si>
    <t>2.2.8</t>
  </si>
  <si>
    <t>Otros Servicios No personales</t>
  </si>
  <si>
    <t>.22.8.1.01</t>
  </si>
  <si>
    <t>Gastos Judiciales</t>
  </si>
  <si>
    <t>Comisiones y  Gastos Bancarios</t>
  </si>
  <si>
    <t>Lavandería</t>
  </si>
  <si>
    <t>Limpieza e higiene</t>
  </si>
  <si>
    <t>Otros Servicios Tecnicos Profesionales</t>
  </si>
  <si>
    <t xml:space="preserve">.22.8.9.03 </t>
  </si>
  <si>
    <t>Otros gastos operativos de instituciones empresariales</t>
  </si>
  <si>
    <t>2.3.1</t>
  </si>
  <si>
    <t>Alimentos y Productos agroforestales</t>
  </si>
  <si>
    <t>Alimentos para animales</t>
  </si>
  <si>
    <t>Productos forestales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</si>
  <si>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</si>
  <si>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</si>
  <si>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</si>
  <si>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</si>
  <si>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</si>
  <si>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</si>
  <si>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</si>
  <si>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</si>
  <si>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</si>
  <si>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</si>
  <si>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</si>
  <si>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2.3.3</t>
  </si>
  <si>
    <t>Productos de Papel, Carton e Impresos</t>
  </si>
  <si>
    <t>Papel de escritorio</t>
  </si>
  <si>
    <t>Productos de papel y cartón</t>
  </si>
  <si>
    <t>Libros revistas y periódicos</t>
  </si>
  <si>
    <t>2.3.4</t>
  </si>
  <si>
    <t>Productos Farmaceuticos</t>
  </si>
  <si>
    <t xml:space="preserve">2.3.4.1.01 </t>
  </si>
  <si>
    <t xml:space="preserve">2.3.4.2.01 </t>
  </si>
  <si>
    <t>2.3.5</t>
  </si>
  <si>
    <t>Productos de Cuero, Caucho y Plastico</t>
  </si>
  <si>
    <t>Llantas y neumáticos</t>
  </si>
  <si>
    <t>Artículos de plástico</t>
  </si>
  <si>
    <t>2.3.6</t>
  </si>
  <si>
    <t>Productos de Minerales, Metalicos y No metalicos</t>
  </si>
  <si>
    <t>Estructuras metálicas acabadas</t>
  </si>
  <si>
    <t>.23.6.3.05</t>
  </si>
  <si>
    <t>Productos de hojalata</t>
  </si>
  <si>
    <t>.23.6.3.06</t>
  </si>
  <si>
    <t>Acesorio de Metal</t>
  </si>
  <si>
    <t>.23.6.4.07</t>
  </si>
  <si>
    <t>Otros Minerales</t>
  </si>
  <si>
    <t>2.3.7</t>
  </si>
  <si>
    <t>Combustibles, Lubricantes, productos quimicos y conexos</t>
  </si>
  <si>
    <t>Gasolina</t>
  </si>
  <si>
    <t>Gasoil</t>
  </si>
  <si>
    <t>Gas GLP</t>
  </si>
  <si>
    <t>.23.7.1.05</t>
  </si>
  <si>
    <t>Aceites y grasas</t>
  </si>
  <si>
    <t>Lubricantes</t>
  </si>
  <si>
    <t>.23.7.2.01</t>
  </si>
  <si>
    <t>Productos explosivos y pirotecnia</t>
  </si>
  <si>
    <t>Productos químicos de uso personal</t>
  </si>
  <si>
    <t>.23.7.2.04</t>
  </si>
  <si>
    <t>Abonos y fertilizantes</t>
  </si>
  <si>
    <t>Insecticidas, fumigantes y otros</t>
  </si>
  <si>
    <t>2.3.9</t>
  </si>
  <si>
    <t>Productos y Utiles Varios</t>
  </si>
  <si>
    <t>Útiles destinados a actividades deportivas y recreativas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</si>
  <si>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</si>
  <si>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</si>
  <si>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</si>
  <si>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</si>
  <si>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</si>
  <si>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</si>
  <si>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</si>
  <si>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</si>
  <si>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</si>
  <si>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</si>
  <si>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</si>
  <si>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</si>
  <si>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</si>
  <si>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</si>
  <si>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</si>
  <si>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</si>
  <si>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</si>
  <si>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</si>
  <si>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</si>
  <si>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2.4.4</t>
  </si>
  <si>
    <t>Transferencias Corrientes a Empresas Publicas no financieras</t>
  </si>
  <si>
    <t>2.6.1</t>
  </si>
  <si>
    <t>Mobiliario y Equipos</t>
  </si>
  <si>
    <t>Muebles de Alojamientos, exepto de oficina y estanteria</t>
  </si>
  <si>
    <t xml:space="preserve">Total Sueldos y  Gastos Operacionales </t>
  </si>
  <si>
    <t>2.1.1.1.01</t>
  </si>
  <si>
    <t>2.1.1.4.01</t>
  </si>
  <si>
    <t>2.1.2.2.01</t>
  </si>
  <si>
    <t>2.1.2.2.04</t>
  </si>
  <si>
    <t>Prima de Transporte</t>
  </si>
  <si>
    <t>2.1.4.2.01</t>
  </si>
  <si>
    <t>2.1.5.1.01</t>
  </si>
  <si>
    <t>2.1.5.2.01</t>
  </si>
  <si>
    <t>Contribuciones al seguro de Riesgo Laboral</t>
  </si>
  <si>
    <t>2.2.1.3.01</t>
  </si>
  <si>
    <t>2.2.1.5.01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</si>
  <si>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</si>
  <si>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</si>
  <si>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</si>
  <si>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</si>
  <si>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</si>
  <si>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</si>
  <si>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</si>
  <si>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</si>
  <si>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2.2.5.1.01</t>
  </si>
  <si>
    <t>2.2.5.8.01</t>
  </si>
  <si>
    <t>2.2.6.2.01</t>
  </si>
  <si>
    <t>2.2.7.1.01</t>
  </si>
  <si>
    <t>2.2.7.1.07</t>
  </si>
  <si>
    <t>2.2.7.2.02</t>
  </si>
  <si>
    <t>2.2.7.2.03</t>
  </si>
  <si>
    <t>2.2.7.2.04</t>
  </si>
  <si>
    <t>2.2.7.2.05</t>
  </si>
  <si>
    <t>2.2.7.2.06</t>
  </si>
  <si>
    <t>2.2.8.2.01</t>
  </si>
  <si>
    <t>2.2.8.5.02</t>
  </si>
  <si>
    <t>2.2.8.5.03</t>
  </si>
  <si>
    <t>2.2.8.7.06</t>
  </si>
  <si>
    <t>2.3.1.2.01</t>
  </si>
  <si>
    <t>2.3.1.3.03</t>
  </si>
  <si>
    <t>2.3.1.4.01</t>
  </si>
  <si>
    <t>2.3.3.1.01</t>
  </si>
  <si>
    <t>2.3.3.2.01</t>
  </si>
  <si>
    <t>2.3.3.3.01</t>
  </si>
  <si>
    <t>2.3.3.4.01</t>
  </si>
  <si>
    <t>2.3.5.3.01</t>
  </si>
  <si>
    <t>2.3.5.4.01</t>
  </si>
  <si>
    <t>2.3.5.5.01</t>
  </si>
  <si>
    <t>2.3.6.1.01</t>
  </si>
  <si>
    <t>2.3.6.2.01</t>
  </si>
  <si>
    <t>2.3.6.3.01</t>
  </si>
  <si>
    <t>2.3.6.3.02</t>
  </si>
  <si>
    <t>2.3.6.3.03</t>
  </si>
  <si>
    <t>2.3.6.4.04</t>
  </si>
  <si>
    <t>2.3.7.1.01</t>
  </si>
  <si>
    <t>2.3.7.1.02</t>
  </si>
  <si>
    <t>2.3.7.1.04</t>
  </si>
  <si>
    <t>2.3.7.1.06</t>
  </si>
  <si>
    <t>2.3.7.2.03</t>
  </si>
  <si>
    <t>2.3.7.2.05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</si>
  <si>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</si>
  <si>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</si>
  <si>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</si>
  <si>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</si>
  <si>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</si>
  <si>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</si>
  <si>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</si>
  <si>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</si>
  <si>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2.4.2.3.01</t>
  </si>
  <si>
    <t>2.6.1.1.01</t>
  </si>
  <si>
    <t>2.6.1.1.02</t>
  </si>
  <si>
    <t>2.1.3.2.01</t>
  </si>
  <si>
    <t>2.2.7.1.02</t>
  </si>
  <si>
    <t>2.2.8.1.01</t>
  </si>
  <si>
    <t>2.2.8.6.01</t>
  </si>
  <si>
    <t>Eventos generales</t>
  </si>
  <si>
    <t>2.2.8.8.01</t>
  </si>
  <si>
    <t>Impuestos</t>
  </si>
  <si>
    <t>2.6.3.2.01</t>
  </si>
  <si>
    <t>Instrumental médico y de laboratorio</t>
  </si>
  <si>
    <t>2.6.7.5.01</t>
  </si>
  <si>
    <t>Otras estructuras</t>
  </si>
  <si>
    <t>Incentivo por riesgo laboral al personal militar</t>
  </si>
  <si>
    <t>2.2.8.5.01</t>
  </si>
  <si>
    <t>Fumigación</t>
  </si>
  <si>
    <t>2.2.9.2.01</t>
  </si>
  <si>
    <t>2.3.1.1.01</t>
  </si>
  <si>
    <t>EJECUTAR</t>
  </si>
  <si>
    <t>TOTAL POR</t>
  </si>
  <si>
    <t>2.6.1.4.01</t>
  </si>
  <si>
    <t>Electrodomesticos</t>
  </si>
  <si>
    <t>2.1.2.2.06</t>
  </si>
  <si>
    <t>Energía eléctrica</t>
  </si>
  <si>
    <t>2.2.1.6.01</t>
  </si>
  <si>
    <t>2.2.4.4.01</t>
  </si>
  <si>
    <t>Servicios sanitarios médicos y veterinarios</t>
  </si>
  <si>
    <t>2.2.8.3.01</t>
  </si>
  <si>
    <t>2.3.5.1.01</t>
  </si>
  <si>
    <t>Cueros y pieles</t>
  </si>
  <si>
    <t>2.6.1.3.01</t>
  </si>
  <si>
    <t>Equipos y Aparatos Audiovisuales</t>
  </si>
  <si>
    <t>2.6.2.1.01</t>
  </si>
  <si>
    <t>2.7.1.2.01</t>
  </si>
  <si>
    <t>Obras para edificación no residencial</t>
  </si>
  <si>
    <t>2.2.7.2.01</t>
  </si>
  <si>
    <t>2.3.2.1.01</t>
  </si>
  <si>
    <t>2.3.2.2.01</t>
  </si>
  <si>
    <t>2.3.2.3.01</t>
  </si>
  <si>
    <t>2.3.2.4.01</t>
  </si>
  <si>
    <t>2.3.6.3.04</t>
  </si>
  <si>
    <t>Herramientas menores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</si>
  <si>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</si>
  <si>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</si>
  <si>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</si>
  <si>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</si>
  <si>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</si>
  <si>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</si>
  <si>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</si>
  <si>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2.4.2.3.02</t>
  </si>
  <si>
    <t>Otras transf. corrientes a instituc. públicas de la seguridad social</t>
  </si>
  <si>
    <t>Gastos de representación en el exterior</t>
  </si>
  <si>
    <t>2.1.3.2.02</t>
  </si>
  <si>
    <t>2.2.4.3.02</t>
  </si>
  <si>
    <t>Servicios de manejo y embalaje</t>
  </si>
  <si>
    <t>2.2.5.4.01</t>
  </si>
  <si>
    <t>Alquileres de equipos de transporte, tracción y elevación</t>
  </si>
  <si>
    <t>2.2.8.7.04</t>
  </si>
  <si>
    <t>Servicios de capacitación</t>
  </si>
  <si>
    <t>Productos medicinales para uso humano</t>
  </si>
  <si>
    <t>2.3.5.2.01</t>
  </si>
  <si>
    <t>Artículos de cuero</t>
  </si>
  <si>
    <t>Transferencias corrientes ocasionales a asociaciones sin fines de lucro</t>
  </si>
  <si>
    <t>2.4.1.6.05</t>
  </si>
  <si>
    <t>Otros Mobiliarios y Equipos no Identificados Precedentemente</t>
  </si>
  <si>
    <t>2.6.1.9.01</t>
  </si>
  <si>
    <t>Otros equipos de transporte</t>
  </si>
  <si>
    <t>2.6.4.8.01</t>
  </si>
  <si>
    <t>Servicios Especiales de Mantenimineto y reparación</t>
  </si>
  <si>
    <t>2.7.1</t>
  </si>
  <si>
    <t>2.4.1.2.05</t>
  </si>
  <si>
    <t>Subsidios para viviendas económicas</t>
  </si>
  <si>
    <t>2.1.1.2.05</t>
  </si>
  <si>
    <t>Sueldo al personal nominal en período probatorio</t>
  </si>
  <si>
    <t>Mantenimiento y reparación de eq. Oficina y mueble</t>
  </si>
  <si>
    <t>Mantenimiento y reparación de equipos sanitarios y laboratorio</t>
  </si>
  <si>
    <t>Mantenimiento y reparación de muebles y Equipos de oficina</t>
  </si>
  <si>
    <t>Mantenimiento y reparación de equipos de transp. Tracción y elevación</t>
  </si>
  <si>
    <t>Alimentos y bebidas para personas</t>
  </si>
  <si>
    <t>Productos de artes gráficas</t>
  </si>
  <si>
    <t>2.3.7.1.03</t>
  </si>
  <si>
    <t>Keroseno</t>
  </si>
  <si>
    <t>2.3.7.2.01</t>
  </si>
  <si>
    <t>Otros productos químicos y conexos</t>
  </si>
  <si>
    <t>Transferencias Corrientes al Sector Privado</t>
  </si>
  <si>
    <t>Transferencias Corrientes a Empresas Públicas no Financieras</t>
  </si>
  <si>
    <t>2.1.1.2.01</t>
  </si>
  <si>
    <t>Sueldos de personal nominal</t>
  </si>
  <si>
    <t>2.1.1.2.02</t>
  </si>
  <si>
    <t>Otros gastos por indemnizaciones y compensaciones</t>
  </si>
  <si>
    <t>2.2.8.9.04</t>
  </si>
  <si>
    <t>2.3.6.1.02</t>
  </si>
  <si>
    <t>Productos de cal</t>
  </si>
  <si>
    <t>2.3.7.2.07</t>
  </si>
  <si>
    <t>Productos químicos para saneamiento de las aguas</t>
  </si>
  <si>
    <t>Repuestos</t>
  </si>
  <si>
    <t>Transferencia corrient. a instituciones públicas de la seguridad social</t>
  </si>
  <si>
    <t>2.6.5.5.01</t>
  </si>
  <si>
    <t>Equipo de comunicación, telecomunicaciones y señalamiento</t>
  </si>
  <si>
    <t>Asignación</t>
  </si>
  <si>
    <t>Extrapresup.</t>
  </si>
  <si>
    <t>2.6.9.3.01</t>
  </si>
  <si>
    <t>Terrenos urbanos sin mejoras</t>
  </si>
  <si>
    <t>2.6.4.6.01</t>
  </si>
  <si>
    <t>Equipo de tracción</t>
  </si>
  <si>
    <t>2.3.6.4.07</t>
  </si>
  <si>
    <t>Otros minerales</t>
  </si>
  <si>
    <t>2.4.1.2.02</t>
  </si>
  <si>
    <t>Ayudas y donaciones ocasionales a hogares y personas</t>
  </si>
  <si>
    <t>2.1.5.3.01</t>
  </si>
  <si>
    <t>Servicios de pintura y derivados con fines de higiene y embellecimiento</t>
  </si>
  <si>
    <t>Artículos de caucho</t>
  </si>
  <si>
    <t>Productos de cemento</t>
  </si>
  <si>
    <t>Productos ferrosos</t>
  </si>
  <si>
    <t>Productos no ferrosos</t>
  </si>
  <si>
    <t>Piedra, arcilla y arena</t>
  </si>
  <si>
    <t>Utiles de cocina y comedor</t>
  </si>
  <si>
    <t>Becas nacionales</t>
  </si>
  <si>
    <t>2.6.9.3.03</t>
  </si>
  <si>
    <t>Terrenos urbanos con edificaciones</t>
  </si>
  <si>
    <t>Pasajes y gastos de transporte</t>
  </si>
  <si>
    <t>2.2.8.6.04</t>
  </si>
  <si>
    <t>Actuaciones artísticas</t>
  </si>
  <si>
    <t>Servicios de alimentación</t>
  </si>
  <si>
    <t>Prendas y accesorios de vestir</t>
  </si>
  <si>
    <t>2.4.4.1.02</t>
  </si>
  <si>
    <t xml:space="preserve">Otras transferencias corrientes a empresas públicas no financieras nacionales
</t>
  </si>
  <si>
    <t>Equipos de tecnología de la información y comunicación</t>
  </si>
  <si>
    <t>2.6.5.7.01</t>
  </si>
  <si>
    <t>Máquinas-herramientas</t>
  </si>
  <si>
    <t>2.8.5</t>
  </si>
  <si>
    <t>Aportes de capital al sector público</t>
  </si>
  <si>
    <t>Obras en edificaciones</t>
  </si>
  <si>
    <t>Programas de informática</t>
  </si>
  <si>
    <t>2.6.8.3.01</t>
  </si>
  <si>
    <t>Aportes de capital al sector público no financiero</t>
  </si>
  <si>
    <t>2.8.5.2.01</t>
  </si>
  <si>
    <t>Productos y útiles diversos</t>
  </si>
  <si>
    <t>2.3.9.9.05</t>
  </si>
  <si>
    <t>2.2.1.1.01</t>
  </si>
  <si>
    <t>Radiocomunicación</t>
  </si>
  <si>
    <t>Peaje</t>
  </si>
  <si>
    <t>2.2.8.7.01</t>
  </si>
  <si>
    <t>Estudios de ingeniería, arquitectura, investigaciones y análisis de factibilidad</t>
  </si>
  <si>
    <t>Productos medicinales para uso veterinario</t>
  </si>
  <si>
    <t>Productos de vidrio</t>
  </si>
  <si>
    <t>2.3.6.2.03</t>
  </si>
  <si>
    <t>Productos de porcelana</t>
  </si>
  <si>
    <t>2.3.9.9.01</t>
  </si>
  <si>
    <t>Productos y Útiles Varios n.i.p</t>
  </si>
  <si>
    <t>Otros Mobiliarios y equipos no identificados precedentemente</t>
  </si>
  <si>
    <t>2.6.8.8.01</t>
  </si>
  <si>
    <t>SEPT.</t>
  </si>
  <si>
    <t>OCT.</t>
  </si>
  <si>
    <t>NOV.</t>
  </si>
  <si>
    <t>DIC.</t>
  </si>
  <si>
    <t>Becas extranjeras</t>
  </si>
  <si>
    <t>2.4.1.4.02</t>
  </si>
  <si>
    <t>Personal igualado</t>
  </si>
  <si>
    <t>2.1.1.2.04</t>
  </si>
  <si>
    <t>Servicios especiales</t>
  </si>
  <si>
    <t>Incentivo por Rendimiento Individual</t>
  </si>
  <si>
    <t>2.1.2.2.13</t>
  </si>
  <si>
    <t>Impresión, encuadernación y rotulación</t>
  </si>
  <si>
    <t>2.2.4.3.01</t>
  </si>
  <si>
    <t>Almacenaje</t>
  </si>
  <si>
    <t>2.2.8.7.05</t>
  </si>
  <si>
    <t>Servicios de informática y sistemas computarizados</t>
  </si>
  <si>
    <t>Hilados, fibras y telas</t>
  </si>
  <si>
    <t>Muebles, equipos de oficina y estantería</t>
  </si>
  <si>
    <t>2.2.8.7.02</t>
  </si>
  <si>
    <t>Servicios jurídicos</t>
  </si>
  <si>
    <t>2.3.9.2.02</t>
  </si>
  <si>
    <t>Útiles escolares y de enseñanzas</t>
  </si>
  <si>
    <t>Sistemas y equipos de aire acondicionado, calefacción y refrigeración industrial y comercial</t>
  </si>
  <si>
    <t>2.6.5.4.01</t>
  </si>
  <si>
    <t>AGOST</t>
  </si>
  <si>
    <t>2.3.7.1.07</t>
  </si>
  <si>
    <t>Gas Natural</t>
  </si>
  <si>
    <t>Seguros de personas</t>
  </si>
  <si>
    <t>2.2.6.3.01</t>
  </si>
  <si>
    <t>2.3.6.3.06</t>
  </si>
  <si>
    <t>2.4.1.6.06</t>
  </si>
  <si>
    <t>Transferencias corrientes a federaciones deportivas</t>
  </si>
  <si>
    <t>2.6.8.8.02</t>
  </si>
  <si>
    <t>Licencias Intelectuales</t>
  </si>
  <si>
    <t>EJECUCION PRESUPUESTARIA CORRESPONDIENTE AL AÑO 2021</t>
  </si>
  <si>
    <t>2.1.3.1.01</t>
  </si>
  <si>
    <t>Dietas en el país</t>
  </si>
  <si>
    <t>Gastos de representación en el país</t>
  </si>
  <si>
    <t>Útiles menores médico quirúrgicos y de laboratorio</t>
  </si>
  <si>
    <t>2.3.9.9.04</t>
  </si>
  <si>
    <t>Otros Alquileres</t>
  </si>
  <si>
    <t>Madera, corcho y sus manufacturas</t>
  </si>
  <si>
    <t>2.3.6.1.05</t>
  </si>
  <si>
    <t>Productos metálicos</t>
  </si>
  <si>
    <t>Pinturas, lacas, barnices, diluyentes y absorbentes para pinturas</t>
  </si>
  <si>
    <t>Útiles y materiales de escritorio, oficina e informática</t>
  </si>
  <si>
    <t>2.9.4.1.01</t>
  </si>
  <si>
    <t>2.9.4</t>
  </si>
  <si>
    <t>COMISIONES Y OTROS GASTOS BANCARIOS DE LA DEUDA PÚBLICA</t>
  </si>
  <si>
    <t>Comisiones y otros gastos bancarios de la deuda pública interna</t>
  </si>
  <si>
    <t>2.2.7.1.06</t>
  </si>
  <si>
    <t>Mantenimiento y reparación de instalaciones eléctricas</t>
  </si>
  <si>
    <t>Mantenimiento y reparación de equipos de tecnología e información</t>
  </si>
  <si>
    <t>2.3.6.3.07</t>
  </si>
  <si>
    <t>Otros productos metálicos</t>
  </si>
  <si>
    <t>Productos y útiles de defensa y seguridad</t>
  </si>
  <si>
    <t>Licencias Informáticas</t>
  </si>
  <si>
    <t>Materiales de limpieza e higiene</t>
  </si>
  <si>
    <t>2.4.1.6.01</t>
  </si>
  <si>
    <t>Transferencias corrientes programadas a asociaciones sin fines de lucro</t>
  </si>
  <si>
    <t>2.1.2.2.05</t>
  </si>
  <si>
    <t>Compensación Servicios de Seguridad</t>
  </si>
  <si>
    <t>2.2.7.2.08</t>
  </si>
  <si>
    <t>Servicios de mantenimiento, reparación, desmonte e instalación de maquinarias y equipos</t>
  </si>
  <si>
    <t>2.3.7.2.04</t>
  </si>
  <si>
    <t>2.6.5.2.01</t>
  </si>
  <si>
    <t>Maquinaria y equipo industrial</t>
  </si>
  <si>
    <t>2.2.5.9.01</t>
  </si>
  <si>
    <t>2.1.1.1.12</t>
  </si>
  <si>
    <t>Sueldo fijo por cargo a personal militar y policial</t>
  </si>
  <si>
    <t>Mantenimiento y reparación de equipos educacionales y recreación</t>
  </si>
  <si>
    <t>2.3.6.3.05</t>
  </si>
  <si>
    <t>Productos de arcilla y derivados</t>
  </si>
  <si>
    <t>2.3.6.1.04</t>
  </si>
  <si>
    <t>Productos de yeso</t>
  </si>
  <si>
    <t>Presupuesto Aprobado:</t>
  </si>
  <si>
    <t>Se refiere al presupuesto aprobado en la Ley de Presupuesto General del Estado.</t>
  </si>
  <si>
    <t>Presupuesto Modificado:</t>
  </si>
  <si>
    <t>Se refiere al presupuesto aprobado en caso de que el Congreso Nacional apruebe un</t>
  </si>
  <si>
    <t>presupuesto complementario.</t>
  </si>
  <si>
    <t>Total Devengado:</t>
  </si>
  <si>
    <t>Son los recursos financieros que surgen con la obligación de pago por la recepción de conformidad de obras,</t>
  </si>
  <si>
    <t>bienes y servicios oportunamente contratados o, en los casos de gastos sin contraprestación, por haberse</t>
  </si>
  <si>
    <t>cumplido los requisitos administrativos dispuestos por el reglamento de la presente ley.</t>
  </si>
  <si>
    <t>ASIGNACIONES EXTRAPRESUPUESTARIA CORRESPONDIENTES AL AÑO 2021</t>
  </si>
  <si>
    <t>CUANTA</t>
  </si>
  <si>
    <t xml:space="preserve">DESCRIPCION DEL GASTO </t>
  </si>
  <si>
    <t>MONTO EN RD$</t>
  </si>
  <si>
    <t>COMPRA DE CHALECOS BALISTICOS</t>
  </si>
  <si>
    <t>MANT. Y REPARAC. DE AERONAVE</t>
  </si>
  <si>
    <t>GASOLINA</t>
  </si>
  <si>
    <t>MES DE MARZO</t>
  </si>
  <si>
    <t>CONTRIBUCIONES AL SEGURO DE SALUD</t>
  </si>
  <si>
    <t>CONTRIBUCIONES AL SEGURO DE RIESGO LABORAL</t>
  </si>
  <si>
    <t>2.6.2.3.01</t>
  </si>
  <si>
    <t>CAMARAS FOTOGRAFICAS Y DE VIDEO</t>
  </si>
  <si>
    <t>COMPENSACION POR GASTOS DE ALIMENTACION</t>
  </si>
  <si>
    <t>MES DE ENERO DE 2021</t>
  </si>
  <si>
    <t>MES DE FEBRERO DE 2021</t>
  </si>
  <si>
    <t>MES DE MARZO DE 2021</t>
  </si>
  <si>
    <t>MES DE ABRIL DE 2021</t>
  </si>
  <si>
    <t>SUELDOS FIJOS</t>
  </si>
  <si>
    <t>SUELDOS FIJOS POR CARGO AL PERSONAL MILITAR Y POLICIAL</t>
  </si>
  <si>
    <t>INCENTIVO POR RIESGO LABORAL AL PERSONAL MILITAR Y POLICIAL</t>
  </si>
  <si>
    <t>SOLICITADO EN MARZO</t>
  </si>
  <si>
    <t>LICENCIAS INFORMATICAS US$1,877,378.78  A RD$57.60</t>
  </si>
  <si>
    <t>MES DE AGOSTO DE 2021</t>
  </si>
  <si>
    <t>PRENDAS Y ACCESORIOS DE VESTIR</t>
  </si>
  <si>
    <t>CALZADOS</t>
  </si>
  <si>
    <t>MES DE SEPTIEMBRE DE 2021</t>
  </si>
  <si>
    <t>PRODUCTOS METALICOS (PLACAS METALICAS)</t>
  </si>
  <si>
    <t>2.6.4.1.01</t>
  </si>
  <si>
    <t>AUTOMOVILES Y CAMIONES</t>
  </si>
  <si>
    <t>PRODUCTOS METALICOS (DEFENSAS PARA CAMIONETAS</t>
  </si>
  <si>
    <t>GASOIL</t>
  </si>
  <si>
    <t>MES DE OCTUBRE DE 2021</t>
  </si>
  <si>
    <t>TOTAL GENEREAL ASIGNACIONES EXTRAP.,…….</t>
  </si>
  <si>
    <t>TOTAL ASIGNACIONES EXTRAP………..</t>
  </si>
  <si>
    <t>TOTAL GENERAL EN RD$,…………………….</t>
  </si>
  <si>
    <t>TOTAL GENERAL DE ASIGNACIONES PRESUPUESTARIAS POR CUENTAS</t>
  </si>
  <si>
    <t>Cámaras fotográficas y de video</t>
  </si>
  <si>
    <t>Automóviles y camiones</t>
  </si>
  <si>
    <t>PRODUCTOS METALICOS (DEFENSAS PARA CAMIONETAS)</t>
  </si>
  <si>
    <t>PRENDAS DE VESTIR</t>
  </si>
  <si>
    <t>LICENCIAS INFORMATICAS</t>
  </si>
  <si>
    <t>SUELDOS FIJO POR CARGO AL PERSONAL MILITAR Y POLICIAL</t>
  </si>
  <si>
    <t>MANTENIMIENTO Y REPARAC. DE EQUIPOS DE TRANSPORTE, TRACC. Y ELEV.</t>
  </si>
  <si>
    <t>PRODUCTOS Y UTILES DE DEFENSA  Y SEGURIDAD</t>
  </si>
  <si>
    <t>Nov.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</si>
  <si>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</si>
  <si>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</si>
  <si>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</si>
  <si>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</si>
  <si>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</si>
  <si>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</si>
  <si>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</si>
  <si>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</si>
  <si>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Sept.</t>
  </si>
  <si>
    <t>Oct.</t>
  </si>
  <si>
    <t>Gastos corrientes</t>
  </si>
  <si>
    <t>Sueldos</t>
  </si>
  <si>
    <t>Cont.seg. Salud</t>
  </si>
  <si>
    <t>Cont.riesgo lab.</t>
  </si>
  <si>
    <t>ASIG. EXTRAP.</t>
  </si>
  <si>
    <t>ASIG. PRESUP.</t>
  </si>
  <si>
    <t>TERRENOS URBANOS CON EDIFICACIONES</t>
  </si>
  <si>
    <t>Productos fotoquímicos</t>
  </si>
  <si>
    <t>2.3.7.2.02</t>
  </si>
  <si>
    <t>% POR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</si>
</sst>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.5"/>
      <color indexed="63"/>
      <name val="Arial"/>
      <family val="2"/>
    </font>
    <font>
      <sz val="11.5"/>
      <color indexed="63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1.5"/>
      <color rgb="FF1C1C21"/>
      <name val="Arial"/>
      <family val="2"/>
    </font>
    <font>
      <sz val="11.5"/>
      <color rgb="FF1C1C2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2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40" fontId="48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0" fillId="34" borderId="11" xfId="58" applyFont="1" applyFill="1" applyBorder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2" fillId="33" borderId="10" xfId="58" applyFont="1" applyFill="1" applyBorder="1" applyAlignment="1">
      <alignment horizontal="left" wrapText="1"/>
      <protection/>
    </xf>
    <xf numFmtId="0" fontId="48" fillId="0" borderId="0" xfId="58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>
      <alignment/>
      <protection/>
    </xf>
    <xf numFmtId="40" fontId="0" fillId="0" borderId="0" xfId="58" applyNumberFormat="1">
      <alignment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49" fillId="34" borderId="11" xfId="57" applyFont="1" applyFill="1" applyBorder="1" applyAlignment="1">
      <alignment wrapText="1"/>
      <protection/>
    </xf>
    <xf numFmtId="0" fontId="50" fillId="33" borderId="11" xfId="58" applyFont="1" applyFill="1" applyBorder="1" applyAlignment="1">
      <alignment wrapText="1"/>
      <protection/>
    </xf>
    <xf numFmtId="0" fontId="0" fillId="0" borderId="11" xfId="57" applyFont="1" applyFill="1" applyBorder="1">
      <alignment/>
      <protection/>
    </xf>
    <xf numFmtId="0" fontId="24" fillId="0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0" fontId="0" fillId="34" borderId="11" xfId="58" applyFont="1" applyFill="1" applyBorder="1" applyAlignment="1">
      <alignment vertical="center"/>
      <protection/>
    </xf>
    <xf numFmtId="0" fontId="24" fillId="0" borderId="11" xfId="57" applyFont="1" applyFill="1" applyBorder="1" applyAlignment="1">
      <alignment vertical="center" wrapText="1"/>
      <protection/>
    </xf>
    <xf numFmtId="43" fontId="24" fillId="0" borderId="11" xfId="46" applyFont="1" applyBorder="1" applyAlignment="1">
      <alignment vertical="center" wrapText="1"/>
    </xf>
    <xf numFmtId="43" fontId="24" fillId="0" borderId="11" xfId="46" applyFont="1" applyBorder="1" applyAlignment="1">
      <alignment vertical="center"/>
    </xf>
    <xf numFmtId="43" fontId="24" fillId="0" borderId="11" xfId="46" applyFont="1" applyBorder="1" applyAlignment="1">
      <alignment horizontal="center" vertical="center"/>
    </xf>
    <xf numFmtId="0" fontId="0" fillId="0" borderId="11" xfId="57" applyFont="1" applyFill="1" applyBorder="1" applyAlignment="1">
      <alignment vertical="center"/>
      <protection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34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49" fillId="0" borderId="11" xfId="58" applyFont="1" applyFill="1" applyBorder="1" applyAlignment="1">
      <alignment vertical="center" wrapText="1"/>
      <protection/>
    </xf>
    <xf numFmtId="43" fontId="24" fillId="34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vertical="center"/>
    </xf>
    <xf numFmtId="43" fontId="24" fillId="4" borderId="11" xfId="46" applyFont="1" applyFill="1" applyBorder="1" applyAlignment="1">
      <alignment vertical="center"/>
    </xf>
    <xf numFmtId="43" fontId="24" fillId="0" borderId="11" xfId="46" applyFont="1" applyFill="1" applyBorder="1" applyAlignment="1">
      <alignment vertical="center" wrapText="1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40" fontId="24" fillId="4" borderId="11" xfId="58" applyNumberFormat="1" applyFont="1" applyFill="1" applyBorder="1" applyAlignment="1">
      <alignment vertical="center"/>
      <protection/>
    </xf>
    <xf numFmtId="10" fontId="24" fillId="4" borderId="11" xfId="58" applyNumberFormat="1" applyFont="1" applyFill="1" applyBorder="1" applyAlignment="1">
      <alignment vertical="center"/>
      <protection/>
    </xf>
    <xf numFmtId="40" fontId="24" fillId="2" borderId="11" xfId="58" applyNumberFormat="1" applyFont="1" applyFill="1" applyBorder="1" applyAlignment="1">
      <alignment vertical="center"/>
      <protection/>
    </xf>
    <xf numFmtId="10" fontId="24" fillId="2" borderId="11" xfId="58" applyNumberFormat="1" applyFont="1" applyFill="1" applyBorder="1" applyAlignment="1">
      <alignment vertical="center"/>
      <protection/>
    </xf>
    <xf numFmtId="43" fontId="22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4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4" fillId="10" borderId="11" xfId="58" applyNumberFormat="1" applyFont="1" applyFill="1" applyBorder="1" applyAlignment="1">
      <alignment vertical="center"/>
      <protection/>
    </xf>
    <xf numFmtId="43" fontId="24" fillId="7" borderId="11" xfId="46" applyFont="1" applyFill="1" applyBorder="1" applyAlignment="1">
      <alignment vertical="center"/>
    </xf>
    <xf numFmtId="40" fontId="24" fillId="7" borderId="11" xfId="58" applyNumberFormat="1" applyFont="1" applyFill="1" applyBorder="1" applyAlignment="1">
      <alignment vertical="center"/>
      <protection/>
    </xf>
    <xf numFmtId="40" fontId="22" fillId="0" borderId="11" xfId="58" applyNumberFormat="1" applyFont="1" applyFill="1" applyBorder="1" applyAlignment="1">
      <alignment vertical="center"/>
      <protection/>
    </xf>
    <xf numFmtId="43" fontId="24" fillId="0" borderId="11" xfId="46" applyFont="1" applyFill="1" applyBorder="1" applyAlignment="1">
      <alignment horizontal="right" vertical="center"/>
    </xf>
    <xf numFmtId="43" fontId="24" fillId="0" borderId="11" xfId="46" applyFont="1" applyFill="1" applyBorder="1" applyAlignment="1">
      <alignment horizontal="center" vertical="center"/>
    </xf>
    <xf numFmtId="40" fontId="24" fillId="0" borderId="11" xfId="58" applyNumberFormat="1" applyFont="1" applyFill="1" applyBorder="1" applyAlignment="1">
      <alignment horizontal="center" vertical="center"/>
      <protection/>
    </xf>
    <xf numFmtId="43" fontId="22" fillId="0" borderId="11" xfId="46" applyFont="1" applyBorder="1" applyAlignment="1">
      <alignment vertical="center"/>
    </xf>
    <xf numFmtId="40" fontId="24" fillId="0" borderId="11" xfId="58" applyNumberFormat="1" applyFont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Font="1" applyAlignment="1">
      <alignment/>
    </xf>
    <xf numFmtId="43" fontId="0" fillId="0" borderId="0" xfId="46" applyAlignment="1">
      <alignment/>
    </xf>
    <xf numFmtId="43" fontId="48" fillId="0" borderId="0" xfId="46" applyFont="1" applyBorder="1" applyAlignment="1">
      <alignment/>
    </xf>
    <xf numFmtId="43" fontId="4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 wrapText="1"/>
      <protection/>
    </xf>
    <xf numFmtId="0" fontId="0" fillId="0" borderId="11" xfId="57" applyFont="1" applyFill="1" applyBorder="1" applyAlignment="1">
      <alignment horizontal="left" vertical="center"/>
      <protection/>
    </xf>
    <xf numFmtId="49" fontId="22" fillId="10" borderId="13" xfId="46" applyNumberFormat="1" applyFont="1" applyFill="1" applyBorder="1" applyAlignment="1">
      <alignment horizontal="center" vertical="center"/>
    </xf>
    <xf numFmtId="0" fontId="25" fillId="10" borderId="13" xfId="58" applyFont="1" applyFill="1" applyBorder="1" applyAlignment="1">
      <alignment horizontal="center" vertical="center" wrapText="1"/>
      <protection/>
    </xf>
    <xf numFmtId="0" fontId="22" fillId="10" borderId="13" xfId="58" applyFont="1" applyFill="1" applyBorder="1" applyAlignment="1">
      <alignment horizontal="center"/>
      <protection/>
    </xf>
    <xf numFmtId="0" fontId="22" fillId="10" borderId="0" xfId="58" applyFont="1" applyFill="1" applyBorder="1" applyAlignment="1">
      <alignment horizontal="center"/>
      <protection/>
    </xf>
    <xf numFmtId="43" fontId="25" fillId="10" borderId="14" xfId="46" applyFont="1" applyFill="1" applyBorder="1" applyAlignment="1">
      <alignment horizontal="center" vertical="center"/>
    </xf>
    <xf numFmtId="0" fontId="22" fillId="10" borderId="14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/>
      <protection/>
    </xf>
    <xf numFmtId="43" fontId="22" fillId="33" borderId="10" xfId="46" applyFont="1" applyFill="1" applyBorder="1" applyAlignment="1">
      <alignment vertical="center"/>
    </xf>
    <xf numFmtId="43" fontId="22" fillId="33" borderId="11" xfId="46" applyFont="1" applyFill="1" applyBorder="1" applyAlignment="1">
      <alignment vertical="center"/>
    </xf>
    <xf numFmtId="40" fontId="22" fillId="33" borderId="15" xfId="58" applyNumberFormat="1" applyFont="1" applyFill="1" applyBorder="1" applyAlignment="1">
      <alignment vertical="center"/>
      <protection/>
    </xf>
    <xf numFmtId="10" fontId="22" fillId="33" borderId="10" xfId="58" applyNumberFormat="1" applyFont="1" applyFill="1" applyBorder="1" applyAlignment="1">
      <alignment vertical="center"/>
      <protection/>
    </xf>
    <xf numFmtId="40" fontId="22" fillId="33" borderId="10" xfId="58" applyNumberFormat="1" applyFont="1" applyFill="1" applyBorder="1" applyAlignment="1">
      <alignment vertical="center"/>
      <protection/>
    </xf>
    <xf numFmtId="40" fontId="22" fillId="33" borderId="11" xfId="58" applyNumberFormat="1" applyFont="1" applyFill="1" applyBorder="1" applyAlignment="1">
      <alignment vertical="center"/>
      <protection/>
    </xf>
    <xf numFmtId="10" fontId="22" fillId="33" borderId="11" xfId="58" applyNumberFormat="1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vertical="center"/>
      <protection/>
    </xf>
    <xf numFmtId="10" fontId="24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2" fillId="11" borderId="11" xfId="58" applyNumberFormat="1" applyFont="1" applyFill="1" applyBorder="1" applyAlignment="1">
      <alignment vertical="center"/>
      <protection/>
    </xf>
    <xf numFmtId="10" fontId="22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43" fontId="48" fillId="0" borderId="0" xfId="46" applyFont="1" applyAlignment="1">
      <alignment/>
    </xf>
    <xf numFmtId="0" fontId="0" fillId="34" borderId="11" xfId="57" applyFont="1" applyFill="1" applyBorder="1">
      <alignment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vertical="center"/>
      <protection/>
    </xf>
    <xf numFmtId="40" fontId="24" fillId="34" borderId="0" xfId="58" applyNumberFormat="1" applyFont="1" applyFill="1" applyBorder="1">
      <alignment/>
      <protection/>
    </xf>
    <xf numFmtId="10" fontId="24" fillId="34" borderId="0" xfId="58" applyNumberFormat="1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49" fillId="34" borderId="11" xfId="58" applyFont="1" applyFill="1" applyBorder="1" applyAlignment="1">
      <alignment horizontal="left" wrapText="1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43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34" borderId="0" xfId="58" applyFont="1" applyFill="1">
      <alignment/>
      <protection/>
    </xf>
    <xf numFmtId="0" fontId="0" fillId="34" borderId="0" xfId="58" applyFill="1">
      <alignment/>
      <protection/>
    </xf>
    <xf numFmtId="0" fontId="0" fillId="34" borderId="12" xfId="58" applyFill="1" applyBorder="1">
      <alignment/>
      <protection/>
    </xf>
    <xf numFmtId="0" fontId="0" fillId="34" borderId="11" xfId="57" applyFont="1" applyFill="1" applyBorder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8" applyFont="1" applyBorder="1" applyAlignment="1">
      <alignment/>
      <protection/>
    </xf>
    <xf numFmtId="0" fontId="55" fillId="0" borderId="0" xfId="58" applyFont="1" applyBorder="1" applyAlignment="1">
      <alignment/>
      <protection/>
    </xf>
    <xf numFmtId="0" fontId="56" fillId="0" borderId="0" xfId="0" applyFont="1" applyAlignment="1">
      <alignment/>
    </xf>
    <xf numFmtId="43" fontId="56" fillId="0" borderId="0" xfId="46" applyFont="1" applyAlignment="1">
      <alignment/>
    </xf>
    <xf numFmtId="43" fontId="0" fillId="0" borderId="0" xfId="46" applyFont="1" applyAlignment="1">
      <alignment/>
    </xf>
    <xf numFmtId="43" fontId="48" fillId="0" borderId="16" xfId="46" applyFont="1" applyBorder="1" applyAlignment="1">
      <alignment/>
    </xf>
    <xf numFmtId="0" fontId="48" fillId="0" borderId="0" xfId="0" applyFont="1" applyAlignment="1">
      <alignment horizontal="right"/>
    </xf>
    <xf numFmtId="43" fontId="48" fillId="0" borderId="17" xfId="46" applyFont="1" applyBorder="1" applyAlignment="1">
      <alignment/>
    </xf>
    <xf numFmtId="0" fontId="0" fillId="34" borderId="0" xfId="0" applyFill="1" applyAlignment="1">
      <alignment/>
    </xf>
    <xf numFmtId="43" fontId="0" fillId="34" borderId="0" xfId="46" applyFont="1" applyFill="1" applyAlignment="1">
      <alignment/>
    </xf>
    <xf numFmtId="43" fontId="0" fillId="34" borderId="18" xfId="46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1" xfId="46" applyFont="1" applyBorder="1" applyAlignment="1">
      <alignment/>
    </xf>
    <xf numFmtId="0" fontId="0" fillId="34" borderId="11" xfId="0" applyFill="1" applyBorder="1" applyAlignment="1">
      <alignment/>
    </xf>
    <xf numFmtId="43" fontId="0" fillId="34" borderId="11" xfId="46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34" borderId="0" xfId="0" applyFont="1" applyFill="1" applyAlignment="1">
      <alignment horizontal="right"/>
    </xf>
    <xf numFmtId="43" fontId="48" fillId="34" borderId="16" xfId="46" applyFont="1" applyFill="1" applyBorder="1" applyAlignment="1">
      <alignment/>
    </xf>
    <xf numFmtId="43" fontId="48" fillId="34" borderId="0" xfId="46" applyFont="1" applyFill="1" applyBorder="1" applyAlignment="1">
      <alignment/>
    </xf>
    <xf numFmtId="0" fontId="56" fillId="34" borderId="0" xfId="0" applyFont="1" applyFill="1" applyAlignment="1">
      <alignment/>
    </xf>
    <xf numFmtId="43" fontId="56" fillId="34" borderId="0" xfId="46" applyFont="1" applyFill="1" applyAlignment="1">
      <alignment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0" fontId="0" fillId="0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54" fillId="0" borderId="0" xfId="46" applyFont="1" applyBorder="1" applyAlignment="1">
      <alignment/>
    </xf>
    <xf numFmtId="43" fontId="55" fillId="0" borderId="0" xfId="46" applyFont="1" applyBorder="1" applyAlignment="1">
      <alignment/>
    </xf>
    <xf numFmtId="43" fontId="0" fillId="0" borderId="0" xfId="46" applyFont="1" applyAlignment="1">
      <alignment/>
    </xf>
    <xf numFmtId="43" fontId="56" fillId="0" borderId="0" xfId="46" applyFont="1" applyBorder="1" applyAlignment="1">
      <alignment/>
    </xf>
    <xf numFmtId="43" fontId="0" fillId="34" borderId="0" xfId="46" applyFont="1" applyFill="1" applyAlignment="1">
      <alignment/>
    </xf>
    <xf numFmtId="43" fontId="56" fillId="34" borderId="0" xfId="46" applyFont="1" applyFill="1" applyAlignment="1">
      <alignment/>
    </xf>
    <xf numFmtId="43" fontId="57" fillId="0" borderId="0" xfId="46" applyFont="1" applyAlignment="1">
      <alignment/>
    </xf>
    <xf numFmtId="43" fontId="58" fillId="0" borderId="0" xfId="46" applyFont="1" applyAlignment="1">
      <alignment/>
    </xf>
    <xf numFmtId="43" fontId="0" fillId="0" borderId="0" xfId="46" applyFont="1" applyAlignment="1">
      <alignment/>
    </xf>
    <xf numFmtId="0" fontId="49" fillId="0" borderId="11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0" fillId="33" borderId="0" xfId="46" applyFont="1" applyFill="1" applyAlignment="1">
      <alignment/>
    </xf>
    <xf numFmtId="0" fontId="0" fillId="33" borderId="0" xfId="0" applyFill="1" applyAlignment="1">
      <alignment/>
    </xf>
    <xf numFmtId="43" fontId="0" fillId="34" borderId="10" xfId="46" applyFont="1" applyFill="1" applyBorder="1" applyAlignment="1">
      <alignment/>
    </xf>
    <xf numFmtId="10" fontId="0" fillId="0" borderId="0" xfId="58" applyNumberFormat="1">
      <alignment/>
      <protection/>
    </xf>
    <xf numFmtId="43" fontId="22" fillId="11" borderId="11" xfId="46" applyFont="1" applyFill="1" applyBorder="1" applyAlignment="1">
      <alignment vertical="center"/>
    </xf>
    <xf numFmtId="0" fontId="0" fillId="34" borderId="0" xfId="57" applyFont="1" applyFill="1" applyBorder="1">
      <alignment/>
      <protection/>
    </xf>
    <xf numFmtId="0" fontId="49" fillId="34" borderId="0" xfId="57" applyFont="1" applyFill="1" applyBorder="1">
      <alignment/>
      <protection/>
    </xf>
    <xf numFmtId="43" fontId="24" fillId="34" borderId="0" xfId="46" applyFont="1" applyFill="1" applyBorder="1" applyAlignment="1">
      <alignment vertical="center"/>
    </xf>
    <xf numFmtId="43" fontId="0" fillId="0" borderId="0" xfId="46" applyFont="1" applyBorder="1" applyAlignment="1">
      <alignment vertical="center"/>
    </xf>
    <xf numFmtId="43" fontId="24" fillId="0" borderId="0" xfId="46" applyFont="1" applyFill="1" applyBorder="1" applyAlignment="1">
      <alignment vertical="center"/>
    </xf>
    <xf numFmtId="40" fontId="24" fillId="4" borderId="0" xfId="58" applyNumberFormat="1" applyFont="1" applyFill="1" applyBorder="1" applyAlignment="1">
      <alignment vertical="center"/>
      <protection/>
    </xf>
    <xf numFmtId="10" fontId="24" fillId="4" borderId="0" xfId="58" applyNumberFormat="1" applyFont="1" applyFill="1" applyBorder="1" applyAlignment="1">
      <alignment vertical="center"/>
      <protection/>
    </xf>
    <xf numFmtId="40" fontId="24" fillId="2" borderId="0" xfId="58" applyNumberFormat="1" applyFont="1" applyFill="1" applyBorder="1" applyAlignment="1">
      <alignment vertical="center"/>
      <protection/>
    </xf>
    <xf numFmtId="10" fontId="24" fillId="2" borderId="0" xfId="58" applyNumberFormat="1" applyFont="1" applyFill="1" applyBorder="1" applyAlignment="1">
      <alignment vertical="center"/>
      <protection/>
    </xf>
    <xf numFmtId="10" fontId="0" fillId="0" borderId="0" xfId="58" applyNumberFormat="1" applyFont="1" applyBorder="1">
      <alignment/>
      <protection/>
    </xf>
    <xf numFmtId="0" fontId="22" fillId="10" borderId="13" xfId="58" applyFont="1" applyFill="1" applyBorder="1" applyAlignment="1">
      <alignment horizontal="center" vertical="center"/>
      <protection/>
    </xf>
    <xf numFmtId="0" fontId="22" fillId="10" borderId="14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4" fillId="0" borderId="0" xfId="58" applyFont="1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22" fillId="10" borderId="13" xfId="58" applyFont="1" applyFill="1" applyBorder="1" applyAlignment="1">
      <alignment horizontal="center" vertical="center" wrapText="1"/>
      <protection/>
    </xf>
    <xf numFmtId="0" fontId="22" fillId="10" borderId="14" xfId="58" applyFont="1" applyFill="1" applyBorder="1" applyAlignment="1">
      <alignment horizontal="center" vertical="center" wrapText="1"/>
      <protection/>
    </xf>
    <xf numFmtId="0" fontId="48" fillId="11" borderId="11" xfId="58" applyFont="1" applyFill="1" applyBorder="1" applyAlignment="1">
      <alignment horizontal="left"/>
      <protection/>
    </xf>
    <xf numFmtId="0" fontId="54" fillId="10" borderId="19" xfId="0" applyFont="1" applyFill="1" applyBorder="1" applyAlignment="1">
      <alignment horizontal="center" vertical="center"/>
    </xf>
    <xf numFmtId="0" fontId="54" fillId="10" borderId="20" xfId="0" applyFont="1" applyFill="1" applyBorder="1" applyAlignment="1">
      <alignment horizontal="center" vertical="center"/>
    </xf>
    <xf numFmtId="0" fontId="54" fillId="10" borderId="21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/>
    </xf>
    <xf numFmtId="0" fontId="56" fillId="8" borderId="19" xfId="0" applyFont="1" applyFill="1" applyBorder="1" applyAlignment="1">
      <alignment horizontal="center"/>
    </xf>
    <xf numFmtId="0" fontId="56" fillId="8" borderId="20" xfId="0" applyFont="1" applyFill="1" applyBorder="1" applyAlignment="1">
      <alignment horizontal="center"/>
    </xf>
    <xf numFmtId="0" fontId="56" fillId="8" borderId="21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0</xdr:row>
      <xdr:rowOff>0</xdr:rowOff>
    </xdr:from>
    <xdr:to>
      <xdr:col>9</xdr:col>
      <xdr:colOff>581025</xdr:colOff>
      <xdr:row>3</xdr:row>
      <xdr:rowOff>238125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232</xdr:row>
      <xdr:rowOff>57150</xdr:rowOff>
    </xdr:from>
    <xdr:to>
      <xdr:col>10</xdr:col>
      <xdr:colOff>838200</xdr:colOff>
      <xdr:row>244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49025175"/>
          <a:ext cx="33909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0</xdr:row>
      <xdr:rowOff>19050</xdr:rowOff>
    </xdr:from>
    <xdr:to>
      <xdr:col>1</xdr:col>
      <xdr:colOff>2619375</xdr:colOff>
      <xdr:row>3</xdr:row>
      <xdr:rowOff>180975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59"/>
  <sheetViews>
    <sheetView tabSelected="1" zoomScale="85" zoomScaleNormal="85" zoomScalePageLayoutView="0" workbookViewId="0" topLeftCell="A228">
      <selection activeCell="L242" sqref="L242"/>
    </sheetView>
  </sheetViews>
  <sheetFormatPr defaultColWidth="11.421875" defaultRowHeight="15"/>
  <cols>
    <col min="1" max="1" width="9.57421875" style="4" customWidth="1"/>
    <col min="2" max="2" width="39.8515625" style="4" customWidth="1"/>
    <col min="3" max="3" width="16.8515625" style="101" bestFit="1" customWidth="1"/>
    <col min="4" max="4" width="15.140625" style="19" bestFit="1" customWidth="1"/>
    <col min="5" max="6" width="16.00390625" style="19" customWidth="1"/>
    <col min="7" max="8" width="16.00390625" style="19" bestFit="1" customWidth="1"/>
    <col min="9" max="10" width="16.00390625" style="19" customWidth="1"/>
    <col min="11" max="15" width="16.00390625" style="19" bestFit="1" customWidth="1"/>
    <col min="16" max="16" width="15.28125" style="19" bestFit="1" customWidth="1"/>
    <col min="17" max="17" width="17.00390625" style="19" bestFit="1" customWidth="1"/>
    <col min="18" max="18" width="11.7109375" style="19" bestFit="1" customWidth="1"/>
    <col min="19" max="19" width="15.00390625" style="4" hidden="1" customWidth="1"/>
    <col min="20" max="20" width="13.8515625" style="4" hidden="1" customWidth="1"/>
    <col min="21" max="21" width="16.421875" style="19" bestFit="1" customWidth="1"/>
    <col min="22" max="22" width="11.57421875" style="19" bestFit="1" customWidth="1"/>
    <col min="23" max="23" width="11.7109375" style="4" bestFit="1" customWidth="1"/>
    <col min="24" max="16384" width="11.421875" style="4" customWidth="1"/>
  </cols>
  <sheetData>
    <row r="1" ht="15"/>
    <row r="2" ht="15"/>
    <row r="3" spans="1:22" ht="15">
      <c r="A3" s="2"/>
      <c r="B3" s="208"/>
      <c r="C3" s="10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208"/>
      <c r="C4" s="10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21">
      <c r="A6" s="210" t="s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1:22" ht="16.5" customHeight="1">
      <c r="A7" s="209" t="s">
        <v>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21">
      <c r="A8" s="210" t="s">
        <v>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</row>
    <row r="9" spans="1:22" ht="18.75">
      <c r="A9" s="209" t="s">
        <v>396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6" customHeight="1">
      <c r="A10" s="2"/>
      <c r="B10" s="2"/>
      <c r="C10" s="10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10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10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212" t="s">
        <v>4</v>
      </c>
      <c r="B13" s="206" t="s">
        <v>5</v>
      </c>
      <c r="C13" s="109">
        <v>2021</v>
      </c>
      <c r="D13" s="110" t="s">
        <v>309</v>
      </c>
      <c r="E13" s="215" t="s">
        <v>6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  <c r="Q13" s="111" t="s">
        <v>7</v>
      </c>
      <c r="R13" s="111" t="s">
        <v>8</v>
      </c>
      <c r="S13" s="112" t="s">
        <v>7</v>
      </c>
      <c r="T13" s="112" t="s">
        <v>9</v>
      </c>
      <c r="U13" s="111" t="s">
        <v>229</v>
      </c>
      <c r="V13" s="111" t="s">
        <v>510</v>
      </c>
    </row>
    <row r="14" spans="1:22" ht="15" customHeight="1" thickBot="1">
      <c r="A14" s="213"/>
      <c r="B14" s="207"/>
      <c r="C14" s="113" t="s">
        <v>10</v>
      </c>
      <c r="D14" s="114" t="s">
        <v>310</v>
      </c>
      <c r="E14" s="115" t="s">
        <v>11</v>
      </c>
      <c r="F14" s="115" t="s">
        <v>12</v>
      </c>
      <c r="G14" s="115" t="s">
        <v>13</v>
      </c>
      <c r="H14" s="115" t="s">
        <v>255</v>
      </c>
      <c r="I14" s="115" t="s">
        <v>14</v>
      </c>
      <c r="J14" s="115" t="s">
        <v>15</v>
      </c>
      <c r="K14" s="115" t="s">
        <v>16</v>
      </c>
      <c r="L14" s="115" t="s">
        <v>386</v>
      </c>
      <c r="M14" s="115" t="s">
        <v>362</v>
      </c>
      <c r="N14" s="115" t="s">
        <v>363</v>
      </c>
      <c r="O14" s="115" t="s">
        <v>364</v>
      </c>
      <c r="P14" s="115" t="s">
        <v>365</v>
      </c>
      <c r="Q14" s="115" t="s">
        <v>17</v>
      </c>
      <c r="R14" s="115" t="s">
        <v>17</v>
      </c>
      <c r="S14" s="112" t="s">
        <v>18</v>
      </c>
      <c r="T14" s="112" t="s">
        <v>18</v>
      </c>
      <c r="U14" s="115" t="s">
        <v>228</v>
      </c>
      <c r="V14" s="115" t="s">
        <v>228</v>
      </c>
    </row>
    <row r="15" spans="1:22" ht="15">
      <c r="A15" s="32" t="s">
        <v>19</v>
      </c>
      <c r="B15" s="5" t="s">
        <v>20</v>
      </c>
      <c r="C15" s="116">
        <f>+C16+C17+C18+C19+C20+C21+C22+C23+C24+C25+C26+C27+C28+C29+C30+C31+C32+C33+C34</f>
        <v>1130123987.0099998</v>
      </c>
      <c r="D15" s="116">
        <f>SUM(D16:D34)</f>
        <v>123214042.22999999</v>
      </c>
      <c r="E15" s="116">
        <f>SUM(E16:E34)</f>
        <v>90040252.11999999</v>
      </c>
      <c r="F15" s="116">
        <f>SUM(F16:F34)</f>
        <v>89298939.72</v>
      </c>
      <c r="G15" s="116">
        <f>SUM(G16:G34)</f>
        <v>90089032.67</v>
      </c>
      <c r="H15" s="116">
        <f>SUM(H16:H34)</f>
        <v>95610061.76</v>
      </c>
      <c r="I15" s="116">
        <f>+I16+I18+I19+I20+I21+I22+I23+I24+I26+I27+I28+I29+I30+I31+I32+I33+I34</f>
        <v>94755377.78</v>
      </c>
      <c r="J15" s="116">
        <f aca="true" t="shared" si="0" ref="J15:O15">SUM(J16:J34)</f>
        <v>94566925.37</v>
      </c>
      <c r="K15" s="116">
        <f t="shared" si="0"/>
        <v>95061989.91000001</v>
      </c>
      <c r="L15" s="116">
        <f t="shared" si="0"/>
        <v>96881624.06000002</v>
      </c>
      <c r="M15" s="116">
        <f t="shared" si="0"/>
        <v>105192244.35000001</v>
      </c>
      <c r="N15" s="116">
        <f t="shared" si="0"/>
        <v>103508811.82</v>
      </c>
      <c r="O15" s="116">
        <f t="shared" si="0"/>
        <v>103336587.38</v>
      </c>
      <c r="P15" s="116">
        <f>SUM(P16:P34)</f>
        <v>194996182.29999998</v>
      </c>
      <c r="Q15" s="118">
        <f>SUM(E15:P15)</f>
        <v>1253338029.24</v>
      </c>
      <c r="R15" s="119">
        <f>+Q15/(C15+D15)</f>
        <v>1.0000000000000002</v>
      </c>
      <c r="S15" s="120">
        <f>SUM(S16:S34)</f>
        <v>-123214042.23000014</v>
      </c>
      <c r="T15" s="119">
        <f aca="true" t="shared" si="1" ref="T15:T35">+S15/C15</f>
        <v>-0.10902701265194002</v>
      </c>
      <c r="U15" s="121">
        <f>+C15+D15-Q15</f>
        <v>0</v>
      </c>
      <c r="V15" s="119">
        <f>+U15/C15</f>
        <v>0</v>
      </c>
    </row>
    <row r="16" spans="1:29" ht="15">
      <c r="A16" s="144" t="s">
        <v>146</v>
      </c>
      <c r="B16" s="28" t="s">
        <v>21</v>
      </c>
      <c r="C16" s="69">
        <f>75191421*12-51000000-84933560.58-62137520.59</f>
        <v>704225970.8299999</v>
      </c>
      <c r="D16" s="69">
        <f>145349711.95+499500-24806570.72</f>
        <v>121042641.22999999</v>
      </c>
      <c r="E16" s="68">
        <v>63125272.33</v>
      </c>
      <c r="F16" s="68">
        <v>62848866.26</v>
      </c>
      <c r="G16" s="68">
        <v>63805978.21</v>
      </c>
      <c r="H16" s="68">
        <v>66938507.09</v>
      </c>
      <c r="I16" s="68">
        <v>66780022.07</v>
      </c>
      <c r="J16" s="68">
        <v>67169629.77</v>
      </c>
      <c r="K16" s="68">
        <v>67401449.87</v>
      </c>
      <c r="L16" s="68">
        <v>69113096.34</v>
      </c>
      <c r="M16" s="68">
        <v>74848137</v>
      </c>
      <c r="N16" s="68">
        <v>74326894.47</v>
      </c>
      <c r="O16" s="68">
        <v>74150871.88</v>
      </c>
      <c r="P16" s="68">
        <v>74759886.77</v>
      </c>
      <c r="Q16" s="79">
        <f>SUM(E16:P16)</f>
        <v>825268612.0600001</v>
      </c>
      <c r="R16" s="80">
        <f>+Q16/(C16+D16)</f>
        <v>1.0000000000000002</v>
      </c>
      <c r="S16" s="81">
        <f aca="true" t="shared" si="2" ref="S16:S34">+C16-Q16</f>
        <v>-121042641.23000014</v>
      </c>
      <c r="T16" s="82">
        <f t="shared" si="1"/>
        <v>-0.1718803995361594</v>
      </c>
      <c r="U16" s="79">
        <f>+C16+D16-Q16</f>
        <v>0</v>
      </c>
      <c r="V16" s="80">
        <f>+U16/C16</f>
        <v>0</v>
      </c>
      <c r="W16" s="3"/>
      <c r="X16" s="3"/>
      <c r="Y16" s="3"/>
      <c r="Z16" s="3"/>
      <c r="AA16" s="3"/>
      <c r="AB16" s="3"/>
      <c r="AC16" s="3"/>
    </row>
    <row r="17" spans="1:29" ht="30">
      <c r="A17" s="145" t="s">
        <v>430</v>
      </c>
      <c r="B17" s="42" t="s">
        <v>431</v>
      </c>
      <c r="C17" s="69">
        <v>0</v>
      </c>
      <c r="D17" s="69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79">
        <f>SUM(E17:P17)</f>
        <v>0</v>
      </c>
      <c r="R17" s="80" t="e">
        <f>+Q17/D17</f>
        <v>#DIV/0!</v>
      </c>
      <c r="S17" s="81">
        <f t="shared" si="2"/>
        <v>0</v>
      </c>
      <c r="T17" s="82" t="e">
        <f t="shared" si="1"/>
        <v>#DIV/0!</v>
      </c>
      <c r="U17" s="79">
        <f>+D17-Q17</f>
        <v>0</v>
      </c>
      <c r="V17" s="80" t="e">
        <f>+U17/D17</f>
        <v>#DIV/0!</v>
      </c>
      <c r="W17" s="3"/>
      <c r="X17" s="3"/>
      <c r="Y17" s="3"/>
      <c r="Z17" s="3"/>
      <c r="AA17" s="3"/>
      <c r="AB17" s="3"/>
      <c r="AC17" s="3"/>
    </row>
    <row r="18" spans="1:29" ht="15">
      <c r="A18" s="75" t="s">
        <v>369</v>
      </c>
      <c r="B18" s="28" t="s">
        <v>370</v>
      </c>
      <c r="C18" s="69">
        <f>12000000*12+2800000+16300000+16200000+15800000</f>
        <v>195100000</v>
      </c>
      <c r="D18" s="69">
        <v>0</v>
      </c>
      <c r="E18" s="69">
        <v>15800000</v>
      </c>
      <c r="F18" s="68">
        <v>15800000</v>
      </c>
      <c r="G18" s="68">
        <v>15800000</v>
      </c>
      <c r="H18" s="68">
        <v>17800000</v>
      </c>
      <c r="I18" s="68">
        <v>16800000</v>
      </c>
      <c r="J18" s="68">
        <v>15800000</v>
      </c>
      <c r="K18" s="68">
        <v>15800000</v>
      </c>
      <c r="L18" s="68">
        <v>15800000</v>
      </c>
      <c r="M18" s="68">
        <v>17400000</v>
      </c>
      <c r="N18" s="68">
        <v>16300000</v>
      </c>
      <c r="O18" s="68">
        <v>16200000</v>
      </c>
      <c r="P18" s="68">
        <v>15800000</v>
      </c>
      <c r="Q18" s="79">
        <f aca="true" t="shared" si="3" ref="Q18:Q33">SUM(E18:P18)</f>
        <v>195100000</v>
      </c>
      <c r="R18" s="80">
        <f>+Q18/C18</f>
        <v>1</v>
      </c>
      <c r="S18" s="81">
        <f t="shared" si="2"/>
        <v>0</v>
      </c>
      <c r="T18" s="82">
        <f t="shared" si="1"/>
        <v>0</v>
      </c>
      <c r="U18" s="79">
        <f>+C18-Q18</f>
        <v>0</v>
      </c>
      <c r="V18" s="80">
        <f>+U18/C18</f>
        <v>0</v>
      </c>
      <c r="W18" s="3"/>
      <c r="X18" s="3"/>
      <c r="Y18" s="3"/>
      <c r="Z18" s="3"/>
      <c r="AA18" s="3"/>
      <c r="AB18" s="3"/>
      <c r="AC18" s="3"/>
    </row>
    <row r="19" spans="1:29" ht="15">
      <c r="A19" s="34" t="s">
        <v>296</v>
      </c>
      <c r="B19" s="28" t="s">
        <v>368</v>
      </c>
      <c r="C19" s="69">
        <f>1000000+100000+200000+261846.06</f>
        <v>1561846.06</v>
      </c>
      <c r="D19" s="69">
        <v>0</v>
      </c>
      <c r="E19" s="68">
        <v>50145</v>
      </c>
      <c r="F19" s="68">
        <v>50145</v>
      </c>
      <c r="G19" s="68">
        <v>50145</v>
      </c>
      <c r="H19" s="68">
        <v>50145</v>
      </c>
      <c r="I19" s="68">
        <v>49995</v>
      </c>
      <c r="J19" s="68">
        <v>236995</v>
      </c>
      <c r="K19" s="68">
        <v>187000</v>
      </c>
      <c r="L19" s="68">
        <v>203500</v>
      </c>
      <c r="M19" s="68">
        <v>165000</v>
      </c>
      <c r="N19" s="68">
        <v>180477</v>
      </c>
      <c r="O19" s="68">
        <v>338299.06</v>
      </c>
      <c r="P19" s="68">
        <v>0</v>
      </c>
      <c r="Q19" s="79">
        <f t="shared" si="3"/>
        <v>1561846.06</v>
      </c>
      <c r="R19" s="80">
        <f>+Q19/C19</f>
        <v>1</v>
      </c>
      <c r="S19" s="81">
        <f t="shared" si="2"/>
        <v>0</v>
      </c>
      <c r="T19" s="82">
        <f t="shared" si="1"/>
        <v>0</v>
      </c>
      <c r="U19" s="79">
        <f>+C19-Q19</f>
        <v>0</v>
      </c>
      <c r="V19" s="80">
        <f>+U19/C19</f>
        <v>0</v>
      </c>
      <c r="W19" s="3"/>
      <c r="X19" s="3"/>
      <c r="Y19" s="3"/>
      <c r="Z19" s="3"/>
      <c r="AA19" s="3"/>
      <c r="AB19" s="3"/>
      <c r="AC19" s="3"/>
    </row>
    <row r="20" spans="1:29" ht="15">
      <c r="A20" s="34" t="s">
        <v>298</v>
      </c>
      <c r="B20" s="28" t="s">
        <v>297</v>
      </c>
      <c r="C20" s="69">
        <v>0</v>
      </c>
      <c r="D20" s="69">
        <v>0</v>
      </c>
      <c r="E20" s="69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79">
        <f t="shared" si="3"/>
        <v>0</v>
      </c>
      <c r="R20" s="80">
        <v>0</v>
      </c>
      <c r="S20" s="81">
        <f t="shared" si="2"/>
        <v>0</v>
      </c>
      <c r="T20" s="82" t="e">
        <f t="shared" si="1"/>
        <v>#DIV/0!</v>
      </c>
      <c r="U20" s="79">
        <f>+C20-Q20</f>
        <v>0</v>
      </c>
      <c r="V20" s="80">
        <v>0</v>
      </c>
      <c r="W20" s="3"/>
      <c r="X20" s="3"/>
      <c r="Y20" s="3"/>
      <c r="Z20" s="3"/>
      <c r="AA20" s="3"/>
      <c r="AB20" s="3"/>
      <c r="AC20" s="3"/>
    </row>
    <row r="21" spans="1:29" ht="30">
      <c r="A21" s="66" t="s">
        <v>282</v>
      </c>
      <c r="B21" s="42" t="s">
        <v>283</v>
      </c>
      <c r="C21" s="69">
        <v>0</v>
      </c>
      <c r="D21" s="69">
        <v>0</v>
      </c>
      <c r="E21" s="69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79">
        <f t="shared" si="3"/>
        <v>0</v>
      </c>
      <c r="R21" s="80">
        <v>0</v>
      </c>
      <c r="S21" s="81">
        <f t="shared" si="2"/>
        <v>0</v>
      </c>
      <c r="T21" s="82" t="e">
        <f t="shared" si="1"/>
        <v>#DIV/0!</v>
      </c>
      <c r="U21" s="79">
        <f>+C21-Q21</f>
        <v>0</v>
      </c>
      <c r="V21" s="80">
        <v>0</v>
      </c>
      <c r="W21" s="3"/>
      <c r="X21" s="3"/>
      <c r="Y21" s="3"/>
      <c r="Z21" s="3"/>
      <c r="AA21" s="3"/>
      <c r="AB21" s="3"/>
      <c r="AC21" s="3"/>
    </row>
    <row r="22" spans="1:29" ht="15">
      <c r="A22" s="34" t="s">
        <v>147</v>
      </c>
      <c r="B22" s="28" t="s">
        <v>22</v>
      </c>
      <c r="C22" s="69">
        <f>87104576+4887737.47</f>
        <v>91992313.47</v>
      </c>
      <c r="D22" s="69">
        <v>0</v>
      </c>
      <c r="E22" s="68">
        <v>32500</v>
      </c>
      <c r="F22" s="68">
        <v>0</v>
      </c>
      <c r="G22" s="68">
        <v>8200</v>
      </c>
      <c r="H22" s="68">
        <v>32287.09</v>
      </c>
      <c r="I22" s="68">
        <v>55500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91863826.38</v>
      </c>
      <c r="Q22" s="79">
        <f t="shared" si="3"/>
        <v>91992313.47</v>
      </c>
      <c r="R22" s="80">
        <f>+Q22/C22</f>
        <v>1</v>
      </c>
      <c r="S22" s="81">
        <f t="shared" si="2"/>
        <v>0</v>
      </c>
      <c r="T22" s="82">
        <f t="shared" si="1"/>
        <v>0</v>
      </c>
      <c r="U22" s="79">
        <f>+C22-Q22</f>
        <v>0</v>
      </c>
      <c r="V22" s="80">
        <f>+U22/C22</f>
        <v>0</v>
      </c>
      <c r="W22" s="3"/>
      <c r="X22" s="3"/>
      <c r="Y22" s="3"/>
      <c r="Z22" s="3"/>
      <c r="AA22" s="3"/>
      <c r="AB22" s="3"/>
      <c r="AC22" s="3"/>
    </row>
    <row r="23" spans="1:29" s="7" customFormat="1" ht="33" customHeight="1">
      <c r="A23" s="77" t="s">
        <v>148</v>
      </c>
      <c r="B23" s="99" t="s">
        <v>23</v>
      </c>
      <c r="C23" s="69">
        <f>26662095+2382189.8</f>
        <v>29044284.8</v>
      </c>
      <c r="D23" s="69">
        <v>801900</v>
      </c>
      <c r="E23" s="68">
        <v>2664352</v>
      </c>
      <c r="F23" s="68">
        <v>2002633</v>
      </c>
      <c r="G23" s="68">
        <v>2046060</v>
      </c>
      <c r="H23" s="68">
        <v>2142586</v>
      </c>
      <c r="I23" s="68">
        <v>2932770</v>
      </c>
      <c r="J23" s="68">
        <v>2506932.4</v>
      </c>
      <c r="K23" s="68">
        <v>2475707.4</v>
      </c>
      <c r="L23" s="68">
        <v>2297582</v>
      </c>
      <c r="M23" s="68">
        <v>2721002.4</v>
      </c>
      <c r="N23" s="68">
        <v>2676890</v>
      </c>
      <c r="O23" s="68">
        <v>2784476.6</v>
      </c>
      <c r="P23" s="68">
        <v>2595193</v>
      </c>
      <c r="Q23" s="79">
        <f>SUM(E23:P23)</f>
        <v>29846184.8</v>
      </c>
      <c r="R23" s="80">
        <f>+Q23/(C23+D23)</f>
        <v>1</v>
      </c>
      <c r="S23" s="81">
        <f t="shared" si="2"/>
        <v>-801900</v>
      </c>
      <c r="T23" s="82">
        <f t="shared" si="1"/>
        <v>-0.027609562622110083</v>
      </c>
      <c r="U23" s="79">
        <f>+C23+D23-Q23</f>
        <v>0</v>
      </c>
      <c r="V23" s="80">
        <f>+U23/(C23+D23)</f>
        <v>0</v>
      </c>
      <c r="W23" s="3"/>
      <c r="X23" s="3"/>
      <c r="Y23" s="3"/>
      <c r="Z23" s="3"/>
      <c r="AA23" s="3"/>
      <c r="AB23" s="3"/>
      <c r="AC23" s="3"/>
    </row>
    <row r="24" spans="1:29" s="2" customFormat="1" ht="15">
      <c r="A24" s="138" t="s">
        <v>149</v>
      </c>
      <c r="B24" s="28" t="s">
        <v>150</v>
      </c>
      <c r="C24" s="69">
        <v>0</v>
      </c>
      <c r="D24" s="69">
        <v>0</v>
      </c>
      <c r="E24" s="69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79">
        <f>SUM(E24:P24)</f>
        <v>0</v>
      </c>
      <c r="R24" s="80" t="e">
        <f>+Q24/C24</f>
        <v>#DIV/0!</v>
      </c>
      <c r="S24" s="81">
        <f t="shared" si="2"/>
        <v>0</v>
      </c>
      <c r="T24" s="82" t="e">
        <f t="shared" si="1"/>
        <v>#DIV/0!</v>
      </c>
      <c r="U24" s="79">
        <f>+C24-Q24</f>
        <v>0</v>
      </c>
      <c r="V24" s="80" t="e">
        <f aca="true" t="shared" si="4" ref="V24:V30">+U24/C24</f>
        <v>#DIV/0!</v>
      </c>
      <c r="W24" s="3"/>
      <c r="X24" s="3"/>
      <c r="Y24" s="3"/>
      <c r="Z24" s="3"/>
      <c r="AA24" s="3"/>
      <c r="AB24" s="3"/>
      <c r="AC24" s="3"/>
    </row>
    <row r="25" spans="1:29" s="2" customFormat="1" ht="15">
      <c r="A25" s="141" t="s">
        <v>422</v>
      </c>
      <c r="B25" s="28" t="s">
        <v>423</v>
      </c>
      <c r="C25" s="69">
        <f>2100000-100000+450000</f>
        <v>2450000</v>
      </c>
      <c r="D25" s="69">
        <v>0</v>
      </c>
      <c r="E25" s="69">
        <v>0</v>
      </c>
      <c r="F25" s="68">
        <v>0</v>
      </c>
      <c r="G25" s="68">
        <v>0</v>
      </c>
      <c r="H25" s="68">
        <v>0</v>
      </c>
      <c r="I25" s="68">
        <v>0</v>
      </c>
      <c r="J25" s="68">
        <v>350000</v>
      </c>
      <c r="K25" s="68">
        <v>350000</v>
      </c>
      <c r="L25" s="68">
        <v>350000</v>
      </c>
      <c r="M25" s="68">
        <v>350000</v>
      </c>
      <c r="N25" s="68">
        <v>350000</v>
      </c>
      <c r="O25" s="68">
        <v>350000</v>
      </c>
      <c r="P25" s="68">
        <v>350000</v>
      </c>
      <c r="Q25" s="79">
        <f>SUM(E25:P25)</f>
        <v>2450000</v>
      </c>
      <c r="R25" s="80">
        <f>+Q25/C25</f>
        <v>1</v>
      </c>
      <c r="S25" s="81">
        <f t="shared" si="2"/>
        <v>0</v>
      </c>
      <c r="T25" s="82">
        <f t="shared" si="1"/>
        <v>0</v>
      </c>
      <c r="U25" s="79">
        <f>+C25-Q25</f>
        <v>0</v>
      </c>
      <c r="V25" s="80">
        <f t="shared" si="4"/>
        <v>0</v>
      </c>
      <c r="W25" s="3"/>
      <c r="X25" s="3"/>
      <c r="Y25" s="3"/>
      <c r="Z25" s="3"/>
      <c r="AA25" s="3"/>
      <c r="AB25" s="3"/>
      <c r="AC25" s="3"/>
    </row>
    <row r="26" spans="1:29" s="2" customFormat="1" ht="15">
      <c r="A26" s="34" t="s">
        <v>232</v>
      </c>
      <c r="B26" s="28" t="s">
        <v>371</v>
      </c>
      <c r="C26" s="69">
        <f>546000+100000+50000+102000</f>
        <v>798000</v>
      </c>
      <c r="D26" s="69">
        <v>0</v>
      </c>
      <c r="E26" s="68">
        <v>66500</v>
      </c>
      <c r="F26" s="68">
        <v>66500</v>
      </c>
      <c r="G26" s="68">
        <v>66500</v>
      </c>
      <c r="H26" s="68">
        <v>66500</v>
      </c>
      <c r="I26" s="68">
        <v>66500</v>
      </c>
      <c r="J26" s="68">
        <v>66500</v>
      </c>
      <c r="K26" s="68">
        <v>66500</v>
      </c>
      <c r="L26" s="68">
        <v>66500</v>
      </c>
      <c r="M26" s="68">
        <v>66500</v>
      </c>
      <c r="N26" s="68">
        <v>66500</v>
      </c>
      <c r="O26" s="68">
        <v>66500</v>
      </c>
      <c r="P26" s="68">
        <v>66500</v>
      </c>
      <c r="Q26" s="79">
        <f>SUM(E26:P26)</f>
        <v>798000</v>
      </c>
      <c r="R26" s="80">
        <f>+Q26/C26</f>
        <v>1</v>
      </c>
      <c r="S26" s="81">
        <f t="shared" si="2"/>
        <v>0</v>
      </c>
      <c r="T26" s="82">
        <f t="shared" si="1"/>
        <v>0</v>
      </c>
      <c r="U26" s="79">
        <f>+C26-Q26</f>
        <v>0</v>
      </c>
      <c r="V26" s="80">
        <f t="shared" si="4"/>
        <v>0</v>
      </c>
      <c r="W26" s="3"/>
      <c r="X26" s="3"/>
      <c r="Y26" s="3"/>
      <c r="Z26" s="3"/>
      <c r="AA26" s="3"/>
      <c r="AB26" s="3"/>
      <c r="AC26" s="3"/>
    </row>
    <row r="27" spans="1:29" s="2" customFormat="1" ht="30">
      <c r="A27" s="66" t="s">
        <v>372</v>
      </c>
      <c r="B27" s="42" t="s">
        <v>223</v>
      </c>
      <c r="C27" s="69">
        <f>50000000+59000+19605675.58+6592470+7677415</f>
        <v>83934560.58</v>
      </c>
      <c r="D27" s="69">
        <v>999000</v>
      </c>
      <c r="E27" s="68">
        <v>6605510</v>
      </c>
      <c r="F27" s="68">
        <v>6682910</v>
      </c>
      <c r="G27" s="68">
        <v>6688360</v>
      </c>
      <c r="H27" s="68">
        <v>6967635</v>
      </c>
      <c r="I27" s="68">
        <v>6408451.54</v>
      </c>
      <c r="J27" s="68">
        <v>6714841.54</v>
      </c>
      <c r="K27" s="68">
        <v>7069630</v>
      </c>
      <c r="L27" s="68">
        <v>7321225</v>
      </c>
      <c r="M27" s="68">
        <v>7607535.5</v>
      </c>
      <c r="N27" s="68">
        <v>7598577</v>
      </c>
      <c r="O27" s="68">
        <v>7591470</v>
      </c>
      <c r="P27" s="68">
        <v>7677415</v>
      </c>
      <c r="Q27" s="79">
        <f>SUM(E27:P27)</f>
        <v>84933560.58</v>
      </c>
      <c r="R27" s="80">
        <f>+Q27/(D27+C27)</f>
        <v>1</v>
      </c>
      <c r="S27" s="81">
        <f t="shared" si="2"/>
        <v>-999000</v>
      </c>
      <c r="T27" s="82">
        <f t="shared" si="1"/>
        <v>-0.011902129386235718</v>
      </c>
      <c r="U27" s="79">
        <f>+C27+D27-Q27</f>
        <v>0</v>
      </c>
      <c r="V27" s="80">
        <f t="shared" si="4"/>
        <v>0</v>
      </c>
      <c r="W27" s="3"/>
      <c r="X27" s="3"/>
      <c r="Y27" s="3"/>
      <c r="Z27" s="3"/>
      <c r="AA27" s="3"/>
      <c r="AB27" s="3"/>
      <c r="AC27" s="3"/>
    </row>
    <row r="28" spans="1:22" s="2" customFormat="1" ht="15">
      <c r="A28" s="106" t="s">
        <v>397</v>
      </c>
      <c r="B28" s="28" t="s">
        <v>398</v>
      </c>
      <c r="C28" s="69">
        <f>50000+180000</f>
        <v>230000</v>
      </c>
      <c r="D28" s="69">
        <v>0</v>
      </c>
      <c r="E28" s="68">
        <v>24000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206000</v>
      </c>
      <c r="N28" s="68">
        <v>0</v>
      </c>
      <c r="O28" s="68">
        <v>0</v>
      </c>
      <c r="P28" s="68">
        <v>0</v>
      </c>
      <c r="Q28" s="79">
        <f t="shared" si="3"/>
        <v>230000</v>
      </c>
      <c r="R28" s="80">
        <f>+Q28/C28</f>
        <v>1</v>
      </c>
      <c r="S28" s="81">
        <f t="shared" si="2"/>
        <v>0</v>
      </c>
      <c r="T28" s="82">
        <f t="shared" si="1"/>
        <v>0</v>
      </c>
      <c r="U28" s="79">
        <f>+C28-Q28</f>
        <v>0</v>
      </c>
      <c r="V28" s="80">
        <f t="shared" si="4"/>
        <v>0</v>
      </c>
    </row>
    <row r="29" spans="1:22" s="2" customFormat="1" ht="15">
      <c r="A29" s="77" t="s">
        <v>212</v>
      </c>
      <c r="B29" s="100" t="s">
        <v>399</v>
      </c>
      <c r="C29" s="69">
        <f>450000+100000+96506.52</f>
        <v>646506.52</v>
      </c>
      <c r="D29" s="69">
        <v>0</v>
      </c>
      <c r="E29" s="68">
        <v>37500</v>
      </c>
      <c r="F29" s="68">
        <v>37500</v>
      </c>
      <c r="G29" s="68">
        <v>37500</v>
      </c>
      <c r="H29" s="68">
        <v>37500</v>
      </c>
      <c r="I29" s="68">
        <v>37500</v>
      </c>
      <c r="J29" s="68">
        <v>37500</v>
      </c>
      <c r="K29" s="68">
        <v>37500</v>
      </c>
      <c r="L29" s="68">
        <v>37500</v>
      </c>
      <c r="M29" s="68">
        <v>37500</v>
      </c>
      <c r="N29" s="68">
        <v>207660.55</v>
      </c>
      <c r="O29" s="68">
        <v>37483.92</v>
      </c>
      <c r="P29" s="68">
        <v>63862.05</v>
      </c>
      <c r="Q29" s="79">
        <f t="shared" si="3"/>
        <v>646506.5200000001</v>
      </c>
      <c r="R29" s="80">
        <f>+Q29/C29</f>
        <v>1.0000000000000002</v>
      </c>
      <c r="S29" s="81">
        <f t="shared" si="2"/>
        <v>0</v>
      </c>
      <c r="T29" s="82">
        <f t="shared" si="1"/>
        <v>0</v>
      </c>
      <c r="U29" s="79">
        <f>+C29-Q29</f>
        <v>0</v>
      </c>
      <c r="V29" s="80">
        <f t="shared" si="4"/>
        <v>0</v>
      </c>
    </row>
    <row r="30" spans="1:22" s="2" customFormat="1" ht="15">
      <c r="A30" s="34" t="s">
        <v>262</v>
      </c>
      <c r="B30" s="6" t="s">
        <v>261</v>
      </c>
      <c r="C30" s="69">
        <f>400000-140057.01</f>
        <v>259942.99</v>
      </c>
      <c r="D30" s="69">
        <v>0</v>
      </c>
      <c r="E30" s="69">
        <v>0</v>
      </c>
      <c r="F30" s="68">
        <v>220077.48</v>
      </c>
      <c r="G30" s="68">
        <v>0</v>
      </c>
      <c r="H30" s="68">
        <v>0</v>
      </c>
      <c r="I30" s="68">
        <v>39865.51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79">
        <f t="shared" si="3"/>
        <v>259942.99000000002</v>
      </c>
      <c r="R30" s="80">
        <f>+Q30/C30</f>
        <v>1.0000000000000002</v>
      </c>
      <c r="S30" s="81">
        <f t="shared" si="2"/>
        <v>0</v>
      </c>
      <c r="T30" s="82">
        <f t="shared" si="1"/>
        <v>0</v>
      </c>
      <c r="U30" s="79">
        <f>+C30-Q30</f>
        <v>0</v>
      </c>
      <c r="V30" s="80">
        <f t="shared" si="4"/>
        <v>0</v>
      </c>
    </row>
    <row r="31" spans="1:22" s="2" customFormat="1" ht="15">
      <c r="A31" s="34" t="s">
        <v>151</v>
      </c>
      <c r="B31" s="28" t="s">
        <v>24</v>
      </c>
      <c r="C31" s="69">
        <f>2000000-1000000-200000-100000-700000</f>
        <v>0</v>
      </c>
      <c r="D31" s="69">
        <v>0</v>
      </c>
      <c r="E31" s="69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79">
        <f t="shared" si="3"/>
        <v>0</v>
      </c>
      <c r="R31" s="80">
        <v>0</v>
      </c>
      <c r="S31" s="81">
        <f t="shared" si="2"/>
        <v>0</v>
      </c>
      <c r="T31" s="82" t="e">
        <f t="shared" si="1"/>
        <v>#DIV/0!</v>
      </c>
      <c r="U31" s="79">
        <f>+C31-Q31</f>
        <v>0</v>
      </c>
      <c r="V31" s="80">
        <v>0</v>
      </c>
    </row>
    <row r="32" spans="1:22" s="2" customFormat="1" ht="15">
      <c r="A32" s="34" t="s">
        <v>152</v>
      </c>
      <c r="B32" s="28" t="s">
        <v>25</v>
      </c>
      <c r="C32" s="69">
        <f>1420000*12+170750.66</f>
        <v>17210750.66</v>
      </c>
      <c r="D32" s="69">
        <v>319710</v>
      </c>
      <c r="E32" s="68">
        <v>1414944.05</v>
      </c>
      <c r="F32" s="68">
        <v>1376710.68</v>
      </c>
      <c r="G32" s="68">
        <v>1373231.89</v>
      </c>
      <c r="H32" s="68">
        <v>1363373.53</v>
      </c>
      <c r="I32" s="68">
        <v>1371919.6</v>
      </c>
      <c r="J32" s="68">
        <v>1458274.31</v>
      </c>
      <c r="K32" s="68">
        <v>1449336.92</v>
      </c>
      <c r="L32" s="68">
        <v>1464934.93</v>
      </c>
      <c r="M32" s="68">
        <v>1549754.26</v>
      </c>
      <c r="N32" s="68">
        <v>1559487.45</v>
      </c>
      <c r="O32" s="68">
        <v>1573375.14</v>
      </c>
      <c r="P32" s="68">
        <v>1575117.9</v>
      </c>
      <c r="Q32" s="79">
        <f>SUM(E32:P32)</f>
        <v>17530460.66</v>
      </c>
      <c r="R32" s="80">
        <f>+Q32/(D32+C32)</f>
        <v>1</v>
      </c>
      <c r="S32" s="81">
        <f t="shared" si="2"/>
        <v>-319710</v>
      </c>
      <c r="T32" s="82">
        <f t="shared" si="1"/>
        <v>-0.018576179872447238</v>
      </c>
      <c r="U32" s="79">
        <f>+C32+D32-Q32</f>
        <v>0</v>
      </c>
      <c r="V32" s="80">
        <f>+U32/C32</f>
        <v>0</v>
      </c>
    </row>
    <row r="33" spans="1:22" s="2" customFormat="1" ht="15">
      <c r="A33" s="34" t="s">
        <v>153</v>
      </c>
      <c r="B33" s="28" t="s">
        <v>26</v>
      </c>
      <c r="C33" s="68">
        <v>0</v>
      </c>
      <c r="D33" s="69">
        <v>0</v>
      </c>
      <c r="E33" s="69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79">
        <f t="shared" si="3"/>
        <v>0</v>
      </c>
      <c r="R33" s="80" t="e">
        <f>+Q33/C33</f>
        <v>#DIV/0!</v>
      </c>
      <c r="S33" s="81">
        <f t="shared" si="2"/>
        <v>0</v>
      </c>
      <c r="T33" s="82" t="e">
        <f t="shared" si="1"/>
        <v>#DIV/0!</v>
      </c>
      <c r="U33" s="79">
        <f>+C33-Q33</f>
        <v>0</v>
      </c>
      <c r="V33" s="80" t="e">
        <f>+U33/C33</f>
        <v>#DIV/0!</v>
      </c>
    </row>
    <row r="34" spans="1:29" s="7" customFormat="1" ht="32.25" customHeight="1">
      <c r="A34" s="77" t="s">
        <v>319</v>
      </c>
      <c r="B34" s="42" t="s">
        <v>154</v>
      </c>
      <c r="C34" s="69">
        <f>220000*12+29811.1</f>
        <v>2669811.1</v>
      </c>
      <c r="D34" s="69">
        <v>50791</v>
      </c>
      <c r="E34" s="68">
        <v>219528.74</v>
      </c>
      <c r="F34" s="68">
        <v>213597.3</v>
      </c>
      <c r="G34" s="68">
        <v>213057.57</v>
      </c>
      <c r="H34" s="68">
        <v>211528.05</v>
      </c>
      <c r="I34" s="68">
        <v>212854.06</v>
      </c>
      <c r="J34" s="68">
        <v>226252.35</v>
      </c>
      <c r="K34" s="68">
        <v>224865.72</v>
      </c>
      <c r="L34" s="68">
        <v>227285.79</v>
      </c>
      <c r="M34" s="68">
        <v>240815.19</v>
      </c>
      <c r="N34" s="68">
        <v>242325.35</v>
      </c>
      <c r="O34" s="68">
        <v>244110.78</v>
      </c>
      <c r="P34" s="68">
        <v>244381.2</v>
      </c>
      <c r="Q34" s="79">
        <f>SUM(E34:P34)</f>
        <v>2720602.1</v>
      </c>
      <c r="R34" s="80">
        <f>+Q34/(D34+C34)</f>
        <v>1</v>
      </c>
      <c r="S34" s="81">
        <f t="shared" si="2"/>
        <v>-50791</v>
      </c>
      <c r="T34" s="82">
        <f t="shared" si="1"/>
        <v>-0.01902419238574594</v>
      </c>
      <c r="U34" s="79">
        <f>+C34+D34-Q34</f>
        <v>0</v>
      </c>
      <c r="V34" s="80">
        <f>+U34/C34</f>
        <v>0</v>
      </c>
      <c r="W34" s="3"/>
      <c r="X34" s="3"/>
      <c r="Y34" s="3"/>
      <c r="Z34" s="3"/>
      <c r="AA34" s="3"/>
      <c r="AB34" s="3"/>
      <c r="AC34" s="3"/>
    </row>
    <row r="35" spans="1:29" s="7" customFormat="1" ht="15">
      <c r="A35" s="24" t="s">
        <v>27</v>
      </c>
      <c r="B35" s="8" t="s">
        <v>28</v>
      </c>
      <c r="C35" s="117">
        <f>+C37+C38+C39+C40+C41+C42</f>
        <v>23942403.91</v>
      </c>
      <c r="D35" s="117">
        <f>+D38+D39+D40+D41+D42</f>
        <v>0</v>
      </c>
      <c r="E35" s="117">
        <f aca="true" t="shared" si="5" ref="E35:O35">+E37+E38+E39+E40+E41+E42</f>
        <v>2072274</v>
      </c>
      <c r="F35" s="117">
        <f t="shared" si="5"/>
        <v>2162271.73</v>
      </c>
      <c r="G35" s="117">
        <f t="shared" si="5"/>
        <v>2004573.28</v>
      </c>
      <c r="H35" s="117">
        <f t="shared" si="5"/>
        <v>2020269.8900000001</v>
      </c>
      <c r="I35" s="117">
        <f t="shared" si="5"/>
        <v>2158316.6100000003</v>
      </c>
      <c r="J35" s="117">
        <f t="shared" si="5"/>
        <v>2174484.45</v>
      </c>
      <c r="K35" s="117">
        <f t="shared" si="5"/>
        <v>1480201.97</v>
      </c>
      <c r="L35" s="117">
        <f t="shared" si="5"/>
        <v>1383642.3</v>
      </c>
      <c r="M35" s="117">
        <f t="shared" si="5"/>
        <v>1831185.69</v>
      </c>
      <c r="N35" s="117">
        <f t="shared" si="5"/>
        <v>2138029.06</v>
      </c>
      <c r="O35" s="117">
        <f t="shared" si="5"/>
        <v>2354182.8200000003</v>
      </c>
      <c r="P35" s="117">
        <f>+P37+P38+P39+P40+P41+P42</f>
        <v>2162972.1100000003</v>
      </c>
      <c r="Q35" s="121">
        <f>SUM(E35:P36)</f>
        <v>23942403.91</v>
      </c>
      <c r="R35" s="122">
        <f>+Q35/C35</f>
        <v>1</v>
      </c>
      <c r="S35" s="121">
        <f>SUM(S38:S42)</f>
        <v>0</v>
      </c>
      <c r="T35" s="122">
        <f t="shared" si="1"/>
        <v>0</v>
      </c>
      <c r="U35" s="121">
        <f>+U37+U38+U39+U40+U41+U42</f>
        <v>0</v>
      </c>
      <c r="V35" s="122">
        <f>+U35/C35</f>
        <v>0</v>
      </c>
      <c r="W35" s="3"/>
      <c r="X35" s="3"/>
      <c r="Y35" s="3"/>
      <c r="Z35" s="3"/>
      <c r="AA35" s="3"/>
      <c r="AB35" s="3"/>
      <c r="AC35" s="3"/>
    </row>
    <row r="36" spans="1:29" s="7" customFormat="1" ht="17.25" customHeight="1" hidden="1">
      <c r="A36" s="27" t="s">
        <v>29</v>
      </c>
      <c r="B36" s="6" t="s">
        <v>30</v>
      </c>
      <c r="C36" s="8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85"/>
      <c r="R36" s="85"/>
      <c r="S36" s="86"/>
      <c r="T36" s="86"/>
      <c r="U36" s="85"/>
      <c r="V36" s="85"/>
      <c r="W36" s="3"/>
      <c r="X36" s="3"/>
      <c r="Y36" s="3"/>
      <c r="Z36" s="3"/>
      <c r="AA36" s="3"/>
      <c r="AB36" s="3"/>
      <c r="AC36" s="3"/>
    </row>
    <row r="37" spans="1:29" s="7" customFormat="1" ht="17.25" customHeight="1">
      <c r="A37" s="60" t="s">
        <v>349</v>
      </c>
      <c r="B37" s="28" t="s">
        <v>350</v>
      </c>
      <c r="C37" s="69">
        <f>10000+1000+1000-1532.02</f>
        <v>10467.98</v>
      </c>
      <c r="D37" s="69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10467.98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79">
        <f aca="true" t="shared" si="6" ref="Q37:Q42">SUM(E37:P37)</f>
        <v>10467.98</v>
      </c>
      <c r="R37" s="80">
        <f>+Q37/C37</f>
        <v>1</v>
      </c>
      <c r="S37" s="81">
        <f aca="true" t="shared" si="7" ref="S37:S77">+C37-Q37</f>
        <v>0</v>
      </c>
      <c r="T37" s="82">
        <f aca="true" t="shared" si="8" ref="T37:T77">+S37/C37</f>
        <v>0</v>
      </c>
      <c r="U37" s="79">
        <f aca="true" t="shared" si="9" ref="U37:U42">+C37-Q37</f>
        <v>0</v>
      </c>
      <c r="V37" s="80">
        <f>+U37/C37</f>
        <v>0</v>
      </c>
      <c r="W37" s="3"/>
      <c r="X37" s="3"/>
      <c r="Y37" s="3"/>
      <c r="Z37" s="3"/>
      <c r="AA37" s="3"/>
      <c r="AB37" s="3"/>
      <c r="AC37" s="3"/>
    </row>
    <row r="38" spans="1:29" s="7" customFormat="1" ht="15">
      <c r="A38" s="34" t="s">
        <v>155</v>
      </c>
      <c r="B38" s="28" t="s">
        <v>31</v>
      </c>
      <c r="C38" s="69">
        <f>22950000-2500000-1000000-2000000-844506.62</f>
        <v>16605493.38</v>
      </c>
      <c r="D38" s="69">
        <v>0</v>
      </c>
      <c r="E38" s="68">
        <v>1546575.23</v>
      </c>
      <c r="F38" s="68">
        <v>1532141.13</v>
      </c>
      <c r="G38" s="68">
        <v>1494291.49</v>
      </c>
      <c r="H38" s="68">
        <v>1526902.85</v>
      </c>
      <c r="I38" s="68">
        <v>1646371.35</v>
      </c>
      <c r="J38" s="68">
        <v>1570909.3</v>
      </c>
      <c r="K38" s="68">
        <v>792979.42</v>
      </c>
      <c r="L38" s="68">
        <v>759997.94</v>
      </c>
      <c r="M38" s="68">
        <v>1057462.49</v>
      </c>
      <c r="N38" s="68">
        <v>1523792.86</v>
      </c>
      <c r="O38" s="68">
        <v>1629640.65</v>
      </c>
      <c r="P38" s="68">
        <v>1524428.67</v>
      </c>
      <c r="Q38" s="79">
        <f t="shared" si="6"/>
        <v>16605493.379999999</v>
      </c>
      <c r="R38" s="80">
        <f>+Q38/C38</f>
        <v>0.9999999999999999</v>
      </c>
      <c r="S38" s="81">
        <f t="shared" si="7"/>
        <v>0</v>
      </c>
      <c r="T38" s="82">
        <f t="shared" si="8"/>
        <v>0</v>
      </c>
      <c r="U38" s="79">
        <f t="shared" si="9"/>
        <v>0</v>
      </c>
      <c r="V38" s="80">
        <f>+U38/C38</f>
        <v>0</v>
      </c>
      <c r="W38" s="3"/>
      <c r="X38" s="3"/>
      <c r="Y38" s="3"/>
      <c r="Z38" s="3"/>
      <c r="AA38" s="3"/>
      <c r="AB38" s="3"/>
      <c r="AC38" s="3"/>
    </row>
    <row r="39" spans="1:29" s="7" customFormat="1" ht="15">
      <c r="A39" s="34" t="s">
        <v>156</v>
      </c>
      <c r="B39" s="28" t="s">
        <v>32</v>
      </c>
      <c r="C39" s="69">
        <f>1310000+2000000+2000000+500000+1240745.14</f>
        <v>7050745.14</v>
      </c>
      <c r="D39" s="69">
        <v>0</v>
      </c>
      <c r="E39" s="68">
        <v>505898.77</v>
      </c>
      <c r="F39" s="68">
        <v>589086.6</v>
      </c>
      <c r="G39" s="68">
        <v>498649.79</v>
      </c>
      <c r="H39" s="68">
        <v>485248.04</v>
      </c>
      <c r="I39" s="68">
        <v>502171.26</v>
      </c>
      <c r="J39" s="68">
        <v>596375.15</v>
      </c>
      <c r="K39" s="68">
        <v>651499.57</v>
      </c>
      <c r="L39" s="68">
        <v>619784.35</v>
      </c>
      <c r="M39" s="68">
        <v>758027.2</v>
      </c>
      <c r="N39" s="68">
        <v>593102.2</v>
      </c>
      <c r="O39" s="68">
        <v>637017.97</v>
      </c>
      <c r="P39" s="68">
        <v>613884.24</v>
      </c>
      <c r="Q39" s="79">
        <f t="shared" si="6"/>
        <v>7050745.14</v>
      </c>
      <c r="R39" s="80">
        <f>+Q39/C39</f>
        <v>1</v>
      </c>
      <c r="S39" s="81">
        <f t="shared" si="7"/>
        <v>0</v>
      </c>
      <c r="T39" s="82">
        <f t="shared" si="8"/>
        <v>0</v>
      </c>
      <c r="U39" s="79">
        <f t="shared" si="9"/>
        <v>0</v>
      </c>
      <c r="V39" s="80">
        <f>+U39/C39</f>
        <v>0</v>
      </c>
      <c r="W39" s="3"/>
      <c r="X39" s="3"/>
      <c r="Y39" s="3"/>
      <c r="Z39" s="3"/>
      <c r="AA39" s="3"/>
      <c r="AB39" s="3"/>
      <c r="AC39" s="3"/>
    </row>
    <row r="40" spans="1:29" s="7" customFormat="1" ht="15">
      <c r="A40" s="34" t="s">
        <v>234</v>
      </c>
      <c r="B40" s="28" t="s">
        <v>233</v>
      </c>
      <c r="C40" s="69">
        <v>0</v>
      </c>
      <c r="D40" s="69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79">
        <f t="shared" si="6"/>
        <v>0</v>
      </c>
      <c r="R40" s="80">
        <v>0</v>
      </c>
      <c r="S40" s="81">
        <f t="shared" si="7"/>
        <v>0</v>
      </c>
      <c r="T40" s="82" t="e">
        <f t="shared" si="8"/>
        <v>#DIV/0!</v>
      </c>
      <c r="U40" s="79">
        <f t="shared" si="9"/>
        <v>0</v>
      </c>
      <c r="V40" s="80">
        <v>0</v>
      </c>
      <c r="W40" s="3"/>
      <c r="X40" s="3"/>
      <c r="Y40" s="3"/>
      <c r="Z40" s="3"/>
      <c r="AA40" s="3"/>
      <c r="AB40" s="3"/>
      <c r="AC40" s="3"/>
    </row>
    <row r="41" spans="1:29" s="7" customFormat="1" ht="15">
      <c r="A41" s="34" t="s">
        <v>157</v>
      </c>
      <c r="B41" s="28" t="s">
        <v>33</v>
      </c>
      <c r="C41" s="69">
        <f>260000-2908.59</f>
        <v>257091.41</v>
      </c>
      <c r="D41" s="69">
        <v>0</v>
      </c>
      <c r="E41" s="68">
        <v>18300</v>
      </c>
      <c r="F41" s="68">
        <v>41044</v>
      </c>
      <c r="G41" s="68">
        <v>11632</v>
      </c>
      <c r="H41" s="68">
        <v>8119</v>
      </c>
      <c r="I41" s="68">
        <v>3168</v>
      </c>
      <c r="J41" s="68">
        <v>5700</v>
      </c>
      <c r="K41" s="68">
        <v>23755</v>
      </c>
      <c r="L41" s="68">
        <v>2360.01</v>
      </c>
      <c r="M41" s="68">
        <v>14196</v>
      </c>
      <c r="N41" s="68">
        <v>19634</v>
      </c>
      <c r="O41" s="68">
        <v>86024.2</v>
      </c>
      <c r="P41" s="68">
        <v>23159.2</v>
      </c>
      <c r="Q41" s="79">
        <f t="shared" si="6"/>
        <v>257091.41000000003</v>
      </c>
      <c r="R41" s="80">
        <f>+Q41/C41</f>
        <v>1.0000000000000002</v>
      </c>
      <c r="S41" s="81">
        <f t="shared" si="7"/>
        <v>0</v>
      </c>
      <c r="T41" s="82">
        <f t="shared" si="8"/>
        <v>0</v>
      </c>
      <c r="U41" s="79">
        <f t="shared" si="9"/>
        <v>0</v>
      </c>
      <c r="V41" s="80">
        <f aca="true" t="shared" si="10" ref="V41:V50">+U41/C41</f>
        <v>0</v>
      </c>
      <c r="W41" s="3"/>
      <c r="X41" s="3"/>
      <c r="Y41" s="3"/>
      <c r="Z41" s="3"/>
      <c r="AA41" s="3"/>
      <c r="AB41" s="3"/>
      <c r="AC41" s="3"/>
    </row>
    <row r="42" spans="1:29" s="7" customFormat="1" ht="15">
      <c r="A42" s="34" t="s">
        <v>158</v>
      </c>
      <c r="B42" s="28" t="s">
        <v>34</v>
      </c>
      <c r="C42" s="69">
        <f>13992+1500+20000-16886</f>
        <v>18606</v>
      </c>
      <c r="D42" s="69">
        <v>0</v>
      </c>
      <c r="E42" s="68">
        <v>1500</v>
      </c>
      <c r="F42" s="68">
        <v>0</v>
      </c>
      <c r="G42" s="68">
        <v>0</v>
      </c>
      <c r="H42" s="68">
        <v>0</v>
      </c>
      <c r="I42" s="68">
        <v>6606</v>
      </c>
      <c r="J42" s="68">
        <v>1500</v>
      </c>
      <c r="K42" s="68">
        <v>1500</v>
      </c>
      <c r="L42" s="68">
        <v>1500</v>
      </c>
      <c r="M42" s="68">
        <v>1500</v>
      </c>
      <c r="N42" s="68">
        <v>1500</v>
      </c>
      <c r="O42" s="68">
        <v>1500</v>
      </c>
      <c r="P42" s="68">
        <v>1500</v>
      </c>
      <c r="Q42" s="79">
        <f t="shared" si="6"/>
        <v>18606</v>
      </c>
      <c r="R42" s="80">
        <f>+Q42/C42</f>
        <v>1</v>
      </c>
      <c r="S42" s="81">
        <f t="shared" si="7"/>
        <v>0</v>
      </c>
      <c r="T42" s="82">
        <f t="shared" si="8"/>
        <v>0</v>
      </c>
      <c r="U42" s="79">
        <f t="shared" si="9"/>
        <v>0</v>
      </c>
      <c r="V42" s="80">
        <f t="shared" si="10"/>
        <v>0</v>
      </c>
      <c r="W42" s="3"/>
      <c r="X42" s="3"/>
      <c r="Y42" s="3"/>
      <c r="Z42" s="3"/>
      <c r="AA42" s="3"/>
      <c r="AB42" s="3"/>
      <c r="AC42" s="3"/>
    </row>
    <row r="43" spans="1:29" s="7" customFormat="1" ht="15">
      <c r="A43" s="24" t="s">
        <v>35</v>
      </c>
      <c r="B43" s="8" t="s">
        <v>36</v>
      </c>
      <c r="C43" s="117">
        <f>SUM(C44:C45)</f>
        <v>319000</v>
      </c>
      <c r="D43" s="117">
        <f aca="true" t="shared" si="11" ref="D43:N43">+D44+D45</f>
        <v>241274.99</v>
      </c>
      <c r="E43" s="117">
        <f t="shared" si="11"/>
        <v>0</v>
      </c>
      <c r="F43" s="117">
        <f t="shared" si="11"/>
        <v>0</v>
      </c>
      <c r="G43" s="117">
        <f t="shared" si="11"/>
        <v>0</v>
      </c>
      <c r="H43" s="117">
        <f t="shared" si="11"/>
        <v>74999.99</v>
      </c>
      <c r="I43" s="117">
        <f t="shared" si="11"/>
        <v>0</v>
      </c>
      <c r="J43" s="117">
        <f t="shared" si="11"/>
        <v>179950</v>
      </c>
      <c r="K43" s="117">
        <f t="shared" si="11"/>
        <v>0</v>
      </c>
      <c r="L43" s="117">
        <f t="shared" si="11"/>
        <v>0</v>
      </c>
      <c r="M43" s="117">
        <f t="shared" si="11"/>
        <v>0</v>
      </c>
      <c r="N43" s="117">
        <f t="shared" si="11"/>
        <v>0</v>
      </c>
      <c r="O43" s="117">
        <f>+O44+O45</f>
        <v>305325</v>
      </c>
      <c r="P43" s="117">
        <f>+P44+P45</f>
        <v>0</v>
      </c>
      <c r="Q43" s="121">
        <f aca="true" t="shared" si="12" ref="Q43:Q51">SUM(E43:P43)</f>
        <v>560274.99</v>
      </c>
      <c r="R43" s="122">
        <f>+Q43/C43</f>
        <v>1.7563479310344827</v>
      </c>
      <c r="S43" s="121">
        <f t="shared" si="7"/>
        <v>-241274.99</v>
      </c>
      <c r="T43" s="122">
        <f t="shared" si="8"/>
        <v>-0.7563479310344827</v>
      </c>
      <c r="U43" s="121">
        <f>+U44+U45</f>
        <v>0</v>
      </c>
      <c r="V43" s="122">
        <f t="shared" si="10"/>
        <v>0</v>
      </c>
      <c r="W43" s="3"/>
      <c r="X43" s="3"/>
      <c r="Y43" s="3"/>
      <c r="Z43" s="3"/>
      <c r="AA43" s="3"/>
      <c r="AB43" s="3"/>
      <c r="AC43" s="3"/>
    </row>
    <row r="44" spans="1:29" s="7" customFormat="1" ht="15">
      <c r="A44" s="34" t="s">
        <v>159</v>
      </c>
      <c r="B44" s="28" t="s">
        <v>37</v>
      </c>
      <c r="C44" s="69">
        <f>350000-31000</f>
        <v>319000</v>
      </c>
      <c r="D44" s="69">
        <f>1209590-968315.01</f>
        <v>241274.99</v>
      </c>
      <c r="E44" s="68">
        <v>0</v>
      </c>
      <c r="F44" s="68">
        <v>0</v>
      </c>
      <c r="G44" s="68">
        <v>0</v>
      </c>
      <c r="H44" s="68">
        <v>74999.99</v>
      </c>
      <c r="I44" s="68">
        <v>0</v>
      </c>
      <c r="J44" s="68">
        <v>179950</v>
      </c>
      <c r="K44" s="68">
        <v>0</v>
      </c>
      <c r="L44" s="68">
        <v>0</v>
      </c>
      <c r="M44" s="68">
        <v>0</v>
      </c>
      <c r="N44" s="68">
        <v>0</v>
      </c>
      <c r="O44" s="68">
        <v>305325</v>
      </c>
      <c r="P44" s="68">
        <v>0</v>
      </c>
      <c r="Q44" s="79">
        <f>SUM(E44:P44)</f>
        <v>560274.99</v>
      </c>
      <c r="R44" s="80">
        <f>+Q44/(D44+C44)</f>
        <v>1</v>
      </c>
      <c r="S44" s="81">
        <f t="shared" si="7"/>
        <v>-241274.99</v>
      </c>
      <c r="T44" s="82">
        <f t="shared" si="8"/>
        <v>-0.7563479310344827</v>
      </c>
      <c r="U44" s="79">
        <f>+C44+D44-Q44</f>
        <v>0</v>
      </c>
      <c r="V44" s="80">
        <f t="shared" si="10"/>
        <v>0</v>
      </c>
      <c r="W44" s="3"/>
      <c r="X44" s="3"/>
      <c r="Y44" s="3"/>
      <c r="Z44" s="3"/>
      <c r="AA44" s="3"/>
      <c r="AB44" s="3"/>
      <c r="AC44" s="3"/>
    </row>
    <row r="45" spans="1:29" s="7" customFormat="1" ht="15">
      <c r="A45" s="34" t="s">
        <v>160</v>
      </c>
      <c r="B45" s="28" t="s">
        <v>373</v>
      </c>
      <c r="C45" s="69">
        <v>0</v>
      </c>
      <c r="D45" s="69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79">
        <f>SUM(E45:P45)</f>
        <v>0</v>
      </c>
      <c r="R45" s="80" t="e">
        <f aca="true" t="shared" si="13" ref="R45:R50">+Q45/C45</f>
        <v>#DIV/0!</v>
      </c>
      <c r="S45" s="81">
        <f t="shared" si="7"/>
        <v>0</v>
      </c>
      <c r="T45" s="82" t="e">
        <f t="shared" si="8"/>
        <v>#DIV/0!</v>
      </c>
      <c r="U45" s="79">
        <f>+C45-Q45</f>
        <v>0</v>
      </c>
      <c r="V45" s="80" t="e">
        <f t="shared" si="10"/>
        <v>#DIV/0!</v>
      </c>
      <c r="W45" s="3"/>
      <c r="X45" s="3"/>
      <c r="Y45" s="3"/>
      <c r="Z45" s="3"/>
      <c r="AA45" s="3"/>
      <c r="AB45" s="3"/>
      <c r="AC45" s="3"/>
    </row>
    <row r="46" spans="1:29" s="7" customFormat="1" ht="15">
      <c r="A46" s="24" t="s">
        <v>38</v>
      </c>
      <c r="B46" s="8" t="s">
        <v>39</v>
      </c>
      <c r="C46" s="117">
        <f>SUM(C47:C48)</f>
        <v>5402940.79</v>
      </c>
      <c r="D46" s="117">
        <f aca="true" t="shared" si="14" ref="D46:N46">+D47+D48</f>
        <v>0</v>
      </c>
      <c r="E46" s="117">
        <f t="shared" si="14"/>
        <v>178940</v>
      </c>
      <c r="F46" s="117">
        <f t="shared" si="14"/>
        <v>183397.2</v>
      </c>
      <c r="G46" s="117">
        <f t="shared" si="14"/>
        <v>650552.44</v>
      </c>
      <c r="H46" s="117">
        <f t="shared" si="14"/>
        <v>407020</v>
      </c>
      <c r="I46" s="117">
        <f t="shared" si="14"/>
        <v>321885</v>
      </c>
      <c r="J46" s="117">
        <f t="shared" si="14"/>
        <v>355970</v>
      </c>
      <c r="K46" s="117">
        <f t="shared" si="14"/>
        <v>408080</v>
      </c>
      <c r="L46" s="117">
        <f t="shared" si="14"/>
        <v>482520</v>
      </c>
      <c r="M46" s="117">
        <f t="shared" si="14"/>
        <v>782400.8</v>
      </c>
      <c r="N46" s="117">
        <f t="shared" si="14"/>
        <v>503350.35</v>
      </c>
      <c r="O46" s="117">
        <f>+O47+O48</f>
        <v>620020</v>
      </c>
      <c r="P46" s="117">
        <f>+P47+P48</f>
        <v>508805</v>
      </c>
      <c r="Q46" s="121">
        <f t="shared" si="12"/>
        <v>5402940.789999999</v>
      </c>
      <c r="R46" s="122">
        <f t="shared" si="13"/>
        <v>0.9999999999999998</v>
      </c>
      <c r="S46" s="121">
        <f t="shared" si="7"/>
        <v>0</v>
      </c>
      <c r="T46" s="122">
        <f t="shared" si="8"/>
        <v>0</v>
      </c>
      <c r="U46" s="121">
        <f>+U47+U48</f>
        <v>0</v>
      </c>
      <c r="V46" s="122">
        <f t="shared" si="10"/>
        <v>0</v>
      </c>
      <c r="W46" s="3"/>
      <c r="X46" s="3"/>
      <c r="Y46" s="3"/>
      <c r="Z46" s="3"/>
      <c r="AA46" s="3"/>
      <c r="AB46" s="3"/>
      <c r="AC46" s="3"/>
    </row>
    <row r="47" spans="1:29" s="7" customFormat="1" ht="15">
      <c r="A47" s="34" t="s">
        <v>161</v>
      </c>
      <c r="B47" s="28" t="s">
        <v>40</v>
      </c>
      <c r="C47" s="69">
        <f>3000000+200000+500000+1055352</f>
        <v>4755352</v>
      </c>
      <c r="D47" s="69">
        <v>0</v>
      </c>
      <c r="E47" s="68">
        <v>178940</v>
      </c>
      <c r="F47" s="68">
        <v>172670</v>
      </c>
      <c r="G47" s="68">
        <v>347080</v>
      </c>
      <c r="H47" s="68">
        <v>343660</v>
      </c>
      <c r="I47" s="68">
        <v>290260</v>
      </c>
      <c r="J47" s="68">
        <v>318020</v>
      </c>
      <c r="K47" s="68">
        <v>408080</v>
      </c>
      <c r="L47" s="68">
        <v>482520</v>
      </c>
      <c r="M47" s="68">
        <v>587120</v>
      </c>
      <c r="N47" s="68">
        <v>498177</v>
      </c>
      <c r="O47" s="68">
        <v>620020</v>
      </c>
      <c r="P47" s="68">
        <v>508805</v>
      </c>
      <c r="Q47" s="79">
        <f t="shared" si="12"/>
        <v>4755352</v>
      </c>
      <c r="R47" s="80">
        <f t="shared" si="13"/>
        <v>1</v>
      </c>
      <c r="S47" s="81">
        <f t="shared" si="7"/>
        <v>0</v>
      </c>
      <c r="T47" s="82">
        <f t="shared" si="8"/>
        <v>0</v>
      </c>
      <c r="U47" s="79">
        <f>+C47-Q47</f>
        <v>0</v>
      </c>
      <c r="V47" s="80">
        <f t="shared" si="10"/>
        <v>0</v>
      </c>
      <c r="W47" s="3"/>
      <c r="X47" s="3"/>
      <c r="Y47" s="3"/>
      <c r="Z47" s="3"/>
      <c r="AA47" s="3"/>
      <c r="AB47" s="3"/>
      <c r="AC47" s="3"/>
    </row>
    <row r="48" spans="1:29" s="7" customFormat="1" ht="15">
      <c r="A48" s="34" t="s">
        <v>162</v>
      </c>
      <c r="B48" s="28" t="s">
        <v>41</v>
      </c>
      <c r="C48" s="69">
        <f>850000-200000-2411.21</f>
        <v>647588.79</v>
      </c>
      <c r="D48" s="69">
        <v>0</v>
      </c>
      <c r="E48" s="68">
        <v>0</v>
      </c>
      <c r="F48" s="68">
        <v>10727.2</v>
      </c>
      <c r="G48" s="68">
        <v>303472.44</v>
      </c>
      <c r="H48" s="68">
        <v>63360</v>
      </c>
      <c r="I48" s="68">
        <v>31625</v>
      </c>
      <c r="J48" s="68">
        <v>37950</v>
      </c>
      <c r="K48" s="68">
        <v>0</v>
      </c>
      <c r="L48" s="68">
        <v>0</v>
      </c>
      <c r="M48" s="68">
        <v>195280.8</v>
      </c>
      <c r="N48" s="68">
        <v>5173.35</v>
      </c>
      <c r="O48" s="68">
        <v>0</v>
      </c>
      <c r="P48" s="68">
        <v>0</v>
      </c>
      <c r="Q48" s="79">
        <f t="shared" si="12"/>
        <v>647588.7899999999</v>
      </c>
      <c r="R48" s="80">
        <f t="shared" si="13"/>
        <v>0.9999999999999998</v>
      </c>
      <c r="S48" s="81">
        <f t="shared" si="7"/>
        <v>0</v>
      </c>
      <c r="T48" s="82">
        <f t="shared" si="8"/>
        <v>0</v>
      </c>
      <c r="U48" s="79">
        <f>+C48-Q48</f>
        <v>0</v>
      </c>
      <c r="V48" s="80">
        <f t="shared" si="10"/>
        <v>0</v>
      </c>
      <c r="W48" s="3"/>
      <c r="X48" s="3"/>
      <c r="Y48" s="3"/>
      <c r="Z48" s="3"/>
      <c r="AA48" s="3"/>
      <c r="AB48" s="3"/>
      <c r="AC48" s="3"/>
    </row>
    <row r="49" spans="1:29" s="7" customFormat="1" ht="15">
      <c r="A49" s="24" t="s">
        <v>42</v>
      </c>
      <c r="B49" s="8" t="s">
        <v>43</v>
      </c>
      <c r="C49" s="117">
        <f>+C50+C51+C52+C53+C55</f>
        <v>512340</v>
      </c>
      <c r="D49" s="117">
        <f>+D51+D52+D53+D55</f>
        <v>0</v>
      </c>
      <c r="E49" s="117">
        <f aca="true" t="shared" si="15" ref="E49:N49">+E50+E51+E52+E53+E55</f>
        <v>40600</v>
      </c>
      <c r="F49" s="117">
        <f t="shared" si="15"/>
        <v>38000</v>
      </c>
      <c r="G49" s="117">
        <f t="shared" si="15"/>
        <v>38180</v>
      </c>
      <c r="H49" s="117">
        <f t="shared" si="15"/>
        <v>40660</v>
      </c>
      <c r="I49" s="117">
        <f t="shared" si="15"/>
        <v>38360</v>
      </c>
      <c r="J49" s="117">
        <f t="shared" si="15"/>
        <v>38840</v>
      </c>
      <c r="K49" s="117">
        <f t="shared" si="15"/>
        <v>40120</v>
      </c>
      <c r="L49" s="117">
        <f t="shared" si="15"/>
        <v>42120</v>
      </c>
      <c r="M49" s="117">
        <f t="shared" si="15"/>
        <v>48000</v>
      </c>
      <c r="N49" s="117">
        <f t="shared" si="15"/>
        <v>48460</v>
      </c>
      <c r="O49" s="117">
        <f>+O50+O51+O52+O53+O55</f>
        <v>51000</v>
      </c>
      <c r="P49" s="117">
        <f>+P50+P51+P52+P53+P55</f>
        <v>48000</v>
      </c>
      <c r="Q49" s="121">
        <f t="shared" si="12"/>
        <v>512340</v>
      </c>
      <c r="R49" s="122">
        <f t="shared" si="13"/>
        <v>1</v>
      </c>
      <c r="S49" s="121">
        <f t="shared" si="7"/>
        <v>0</v>
      </c>
      <c r="T49" s="122">
        <f t="shared" si="8"/>
        <v>0</v>
      </c>
      <c r="U49" s="121">
        <f>+U50+U51+U52+U53+U55</f>
        <v>0</v>
      </c>
      <c r="V49" s="122">
        <f t="shared" si="10"/>
        <v>0</v>
      </c>
      <c r="W49" s="3"/>
      <c r="X49" s="3"/>
      <c r="Y49" s="3"/>
      <c r="Z49" s="3"/>
      <c r="AA49" s="3"/>
      <c r="AB49" s="3"/>
      <c r="AC49" s="3"/>
    </row>
    <row r="50" spans="1:29" s="7" customFormat="1" ht="15">
      <c r="A50" s="75" t="s">
        <v>163</v>
      </c>
      <c r="B50" s="28" t="s">
        <v>330</v>
      </c>
      <c r="C50" s="69">
        <f>300000+130000+31000+48000</f>
        <v>509000</v>
      </c>
      <c r="D50" s="69">
        <v>0</v>
      </c>
      <c r="E50" s="69">
        <v>40000</v>
      </c>
      <c r="F50" s="68">
        <v>38000</v>
      </c>
      <c r="G50" s="68">
        <v>38000</v>
      </c>
      <c r="H50" s="68">
        <v>40000</v>
      </c>
      <c r="I50" s="68">
        <v>38000</v>
      </c>
      <c r="J50" s="68">
        <v>38000</v>
      </c>
      <c r="K50" s="68">
        <v>40000</v>
      </c>
      <c r="L50" s="68">
        <v>42000</v>
      </c>
      <c r="M50" s="68">
        <v>48000</v>
      </c>
      <c r="N50" s="68">
        <v>48000</v>
      </c>
      <c r="O50" s="68">
        <v>51000</v>
      </c>
      <c r="P50" s="68">
        <v>48000</v>
      </c>
      <c r="Q50" s="79">
        <f>SUM(E50:P50)</f>
        <v>509000</v>
      </c>
      <c r="R50" s="80">
        <f t="shared" si="13"/>
        <v>1</v>
      </c>
      <c r="S50" s="81">
        <f t="shared" si="7"/>
        <v>0</v>
      </c>
      <c r="T50" s="82">
        <f t="shared" si="8"/>
        <v>0</v>
      </c>
      <c r="U50" s="79">
        <f aca="true" t="shared" si="16" ref="U50:U55">+C50-Q50</f>
        <v>0</v>
      </c>
      <c r="V50" s="80">
        <f t="shared" si="10"/>
        <v>0</v>
      </c>
      <c r="W50" s="3"/>
      <c r="X50" s="3"/>
      <c r="Y50" s="3"/>
      <c r="Z50" s="3"/>
      <c r="AA50" s="3"/>
      <c r="AB50" s="3"/>
      <c r="AC50" s="3"/>
    </row>
    <row r="51" spans="1:29" s="7" customFormat="1" ht="15">
      <c r="A51" s="75" t="s">
        <v>374</v>
      </c>
      <c r="B51" s="28" t="s">
        <v>375</v>
      </c>
      <c r="C51" s="69">
        <v>0</v>
      </c>
      <c r="D51" s="69">
        <v>0</v>
      </c>
      <c r="E51" s="69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79">
        <f t="shared" si="12"/>
        <v>0</v>
      </c>
      <c r="R51" s="80">
        <v>0</v>
      </c>
      <c r="S51" s="81">
        <f t="shared" si="7"/>
        <v>0</v>
      </c>
      <c r="T51" s="82" t="e">
        <f t="shared" si="8"/>
        <v>#DIV/0!</v>
      </c>
      <c r="U51" s="79">
        <f t="shared" si="16"/>
        <v>0</v>
      </c>
      <c r="V51" s="80">
        <v>0</v>
      </c>
      <c r="W51" s="3"/>
      <c r="X51" s="3"/>
      <c r="Y51" s="3"/>
      <c r="Z51" s="3"/>
      <c r="AA51" s="3"/>
      <c r="AB51" s="3"/>
      <c r="AC51" s="3"/>
    </row>
    <row r="52" spans="1:29" s="7" customFormat="1" ht="15">
      <c r="A52" s="34" t="s">
        <v>263</v>
      </c>
      <c r="B52" s="28" t="s">
        <v>264</v>
      </c>
      <c r="C52" s="69">
        <v>0</v>
      </c>
      <c r="D52" s="69">
        <v>0</v>
      </c>
      <c r="E52" s="69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79">
        <f>SUM(E52:P52)</f>
        <v>0</v>
      </c>
      <c r="R52" s="80">
        <v>0</v>
      </c>
      <c r="S52" s="81">
        <f t="shared" si="7"/>
        <v>0</v>
      </c>
      <c r="T52" s="82" t="e">
        <f t="shared" si="8"/>
        <v>#DIV/0!</v>
      </c>
      <c r="U52" s="79">
        <f t="shared" si="16"/>
        <v>0</v>
      </c>
      <c r="V52" s="80">
        <v>0</v>
      </c>
      <c r="W52" s="3"/>
      <c r="X52" s="3"/>
      <c r="Y52" s="3"/>
      <c r="Z52" s="3"/>
      <c r="AA52" s="3"/>
      <c r="AB52" s="3"/>
      <c r="AC52" s="3"/>
    </row>
    <row r="53" spans="1:29" s="7" customFormat="1" ht="15">
      <c r="A53" s="34" t="s">
        <v>164</v>
      </c>
      <c r="B53" s="28" t="s">
        <v>44</v>
      </c>
      <c r="C53" s="69">
        <v>0</v>
      </c>
      <c r="D53" s="69">
        <v>0</v>
      </c>
      <c r="E53" s="69">
        <v>0</v>
      </c>
      <c r="F53" s="69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79">
        <f>SUM(E53:P53)</f>
        <v>0</v>
      </c>
      <c r="R53" s="80" t="e">
        <f>+Q53/C53</f>
        <v>#DIV/0!</v>
      </c>
      <c r="S53" s="81">
        <f t="shared" si="7"/>
        <v>0</v>
      </c>
      <c r="T53" s="82" t="e">
        <f t="shared" si="8"/>
        <v>#DIV/0!</v>
      </c>
      <c r="U53" s="79">
        <f t="shared" si="16"/>
        <v>0</v>
      </c>
      <c r="V53" s="80" t="e">
        <f>+U53/C53</f>
        <v>#DIV/0!</v>
      </c>
      <c r="W53" s="3"/>
      <c r="X53" s="3"/>
      <c r="Y53" s="3"/>
      <c r="Z53" s="3"/>
      <c r="AA53" s="3"/>
      <c r="AB53" s="3"/>
      <c r="AC53" s="3"/>
    </row>
    <row r="54" spans="1:29" s="7" customFormat="1" ht="17.25" customHeight="1" hidden="1">
      <c r="A54" s="27" t="s">
        <v>45</v>
      </c>
      <c r="B54" s="6" t="s">
        <v>46</v>
      </c>
      <c r="C54" s="69"/>
      <c r="D54" s="69"/>
      <c r="E54" s="69"/>
      <c r="F54" s="69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9">
        <f>SUM(E54:P54)</f>
        <v>0</v>
      </c>
      <c r="R54" s="80" t="e">
        <f>+Q54/C54</f>
        <v>#DIV/0!</v>
      </c>
      <c r="S54" s="81">
        <f t="shared" si="7"/>
        <v>0</v>
      </c>
      <c r="T54" s="82" t="e">
        <f t="shared" si="8"/>
        <v>#DIV/0!</v>
      </c>
      <c r="U54" s="79">
        <f t="shared" si="16"/>
        <v>0</v>
      </c>
      <c r="V54" s="80" t="e">
        <f>+U54/C54</f>
        <v>#DIV/0!</v>
      </c>
      <c r="W54" s="3"/>
      <c r="X54" s="3"/>
      <c r="Y54" s="3"/>
      <c r="Z54" s="3"/>
      <c r="AA54" s="3"/>
      <c r="AB54" s="3"/>
      <c r="AC54" s="3"/>
    </row>
    <row r="55" spans="1:29" s="7" customFormat="1" ht="15">
      <c r="A55" s="27" t="s">
        <v>235</v>
      </c>
      <c r="B55" s="6" t="s">
        <v>351</v>
      </c>
      <c r="C55" s="69">
        <f>500000-400000-96660</f>
        <v>3340</v>
      </c>
      <c r="D55" s="69">
        <v>0</v>
      </c>
      <c r="E55" s="69">
        <v>600</v>
      </c>
      <c r="F55" s="69">
        <v>0</v>
      </c>
      <c r="G55" s="68">
        <v>180</v>
      </c>
      <c r="H55" s="68">
        <v>660</v>
      </c>
      <c r="I55" s="68">
        <v>360</v>
      </c>
      <c r="J55" s="68">
        <v>840</v>
      </c>
      <c r="K55" s="68">
        <v>120</v>
      </c>
      <c r="L55" s="68">
        <v>120</v>
      </c>
      <c r="M55" s="68">
        <v>0</v>
      </c>
      <c r="N55" s="68">
        <v>460</v>
      </c>
      <c r="O55" s="68">
        <v>0</v>
      </c>
      <c r="P55" s="68">
        <v>0</v>
      </c>
      <c r="Q55" s="79">
        <f>SUM(E55:P55)</f>
        <v>3340</v>
      </c>
      <c r="R55" s="80">
        <f>+Q55/C55</f>
        <v>1</v>
      </c>
      <c r="S55" s="81">
        <f t="shared" si="7"/>
        <v>0</v>
      </c>
      <c r="T55" s="82">
        <f t="shared" si="8"/>
        <v>0</v>
      </c>
      <c r="U55" s="79">
        <f t="shared" si="16"/>
        <v>0</v>
      </c>
      <c r="V55" s="80">
        <f>+U55/C55</f>
        <v>0</v>
      </c>
      <c r="W55" s="3"/>
      <c r="X55" s="3"/>
      <c r="Y55" s="3"/>
      <c r="Z55" s="3"/>
      <c r="AA55" s="3"/>
      <c r="AB55" s="3"/>
      <c r="AC55" s="3"/>
    </row>
    <row r="56" spans="1:29" s="7" customFormat="1" ht="15">
      <c r="A56" s="24" t="s">
        <v>47</v>
      </c>
      <c r="B56" s="8" t="s">
        <v>48</v>
      </c>
      <c r="C56" s="117">
        <f>+C57+C58+C59+C60</f>
        <v>9121724.91</v>
      </c>
      <c r="D56" s="117">
        <f>+D57+D59+D60</f>
        <v>0</v>
      </c>
      <c r="E56" s="117">
        <f aca="true" t="shared" si="17" ref="E56:N56">+E57+E58+E59</f>
        <v>711270.14</v>
      </c>
      <c r="F56" s="117">
        <f t="shared" si="17"/>
        <v>795155.54</v>
      </c>
      <c r="G56" s="117">
        <f t="shared" si="17"/>
        <v>699831.72</v>
      </c>
      <c r="H56" s="117">
        <f t="shared" si="17"/>
        <v>537401.72</v>
      </c>
      <c r="I56" s="117">
        <f t="shared" si="17"/>
        <v>558307.49</v>
      </c>
      <c r="J56" s="117">
        <f t="shared" si="17"/>
        <v>734841.6</v>
      </c>
      <c r="K56" s="117">
        <f t="shared" si="17"/>
        <v>916892.97</v>
      </c>
      <c r="L56" s="117">
        <f t="shared" si="17"/>
        <v>765264.08</v>
      </c>
      <c r="M56" s="117">
        <f t="shared" si="17"/>
        <v>622027.16</v>
      </c>
      <c r="N56" s="117">
        <f t="shared" si="17"/>
        <v>981427.16</v>
      </c>
      <c r="O56" s="117">
        <f>+O57+O58+O59+O60</f>
        <v>627727.16</v>
      </c>
      <c r="P56" s="117">
        <f>+P57+P58+P59+P60</f>
        <v>1139777.17</v>
      </c>
      <c r="Q56" s="121">
        <f aca="true" t="shared" si="18" ref="Q56:Q63">SUM(E56:P56)</f>
        <v>9089923.91</v>
      </c>
      <c r="R56" s="122">
        <f>+Q56/C56</f>
        <v>0.9965137076250636</v>
      </c>
      <c r="S56" s="121">
        <f t="shared" si="7"/>
        <v>31801</v>
      </c>
      <c r="T56" s="122">
        <f t="shared" si="8"/>
        <v>0.003486292374936354</v>
      </c>
      <c r="U56" s="121">
        <f>+U57+U58+U59</f>
        <v>0</v>
      </c>
      <c r="V56" s="122">
        <f>+U56/C56</f>
        <v>0</v>
      </c>
      <c r="W56" s="3"/>
      <c r="X56" s="3"/>
      <c r="Y56" s="3"/>
      <c r="Z56" s="3"/>
      <c r="AA56" s="3"/>
      <c r="AB56" s="3"/>
      <c r="AC56" s="3"/>
    </row>
    <row r="57" spans="1:29" s="7" customFormat="1" ht="15">
      <c r="A57" s="34" t="s">
        <v>165</v>
      </c>
      <c r="B57" s="28" t="s">
        <v>49</v>
      </c>
      <c r="C57" s="69">
        <f>6000000+800000+1694678.51</f>
        <v>8494678.51</v>
      </c>
      <c r="D57" s="69">
        <v>0</v>
      </c>
      <c r="E57" s="68">
        <v>681970.14</v>
      </c>
      <c r="F57" s="68">
        <v>589970.14</v>
      </c>
      <c r="G57" s="68">
        <v>560271.72</v>
      </c>
      <c r="H57" s="68">
        <v>485701.72</v>
      </c>
      <c r="I57" s="68">
        <v>506367.49</v>
      </c>
      <c r="J57" s="68">
        <v>683261.6</v>
      </c>
      <c r="K57" s="68">
        <v>865072.97</v>
      </c>
      <c r="L57" s="68">
        <v>751104.08</v>
      </c>
      <c r="M57" s="68">
        <v>622027.16</v>
      </c>
      <c r="N57" s="68">
        <v>981427.16</v>
      </c>
      <c r="O57" s="68">
        <v>627727.16</v>
      </c>
      <c r="P57" s="68">
        <v>1139777.17</v>
      </c>
      <c r="Q57" s="79">
        <f t="shared" si="18"/>
        <v>8494678.510000002</v>
      </c>
      <c r="R57" s="80">
        <f>+Q57/C57</f>
        <v>1.0000000000000002</v>
      </c>
      <c r="S57" s="81">
        <f t="shared" si="7"/>
        <v>0</v>
      </c>
      <c r="T57" s="82">
        <f t="shared" si="8"/>
        <v>0</v>
      </c>
      <c r="U57" s="79">
        <f>+C57-Q57</f>
        <v>0</v>
      </c>
      <c r="V57" s="80">
        <f>+U57/C57</f>
        <v>0</v>
      </c>
      <c r="W57" s="3"/>
      <c r="X57" s="3"/>
      <c r="Y57" s="3"/>
      <c r="Z57" s="3"/>
      <c r="AA57" s="3"/>
      <c r="AB57" s="3"/>
      <c r="AC57" s="3"/>
    </row>
    <row r="58" spans="1:29" s="7" customFormat="1" ht="30">
      <c r="A58" s="47" t="s">
        <v>265</v>
      </c>
      <c r="B58" s="42" t="s">
        <v>266</v>
      </c>
      <c r="C58" s="69">
        <v>0</v>
      </c>
      <c r="D58" s="69">
        <v>0</v>
      </c>
      <c r="E58" s="69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79">
        <f t="shared" si="18"/>
        <v>0</v>
      </c>
      <c r="R58" s="80">
        <v>0</v>
      </c>
      <c r="S58" s="81">
        <f t="shared" si="7"/>
        <v>0</v>
      </c>
      <c r="T58" s="82" t="e">
        <f t="shared" si="8"/>
        <v>#DIV/0!</v>
      </c>
      <c r="U58" s="79">
        <f>+C58-Q58</f>
        <v>0</v>
      </c>
      <c r="V58" s="80">
        <v>0</v>
      </c>
      <c r="W58" s="3"/>
      <c r="X58" s="3"/>
      <c r="Y58" s="3"/>
      <c r="Z58" s="3"/>
      <c r="AA58" s="3"/>
      <c r="AB58" s="3"/>
      <c r="AC58" s="3"/>
    </row>
    <row r="59" spans="1:29" s="7" customFormat="1" ht="15">
      <c r="A59" s="34" t="s">
        <v>166</v>
      </c>
      <c r="B59" s="42" t="s">
        <v>402</v>
      </c>
      <c r="C59" s="69">
        <f>600000-4754.6</f>
        <v>595245.4</v>
      </c>
      <c r="D59" s="69">
        <v>0</v>
      </c>
      <c r="E59" s="69">
        <v>29300</v>
      </c>
      <c r="F59" s="69">
        <v>205185.4</v>
      </c>
      <c r="G59" s="68">
        <v>139560</v>
      </c>
      <c r="H59" s="68">
        <v>51700</v>
      </c>
      <c r="I59" s="68">
        <v>51940</v>
      </c>
      <c r="J59" s="68">
        <v>51580</v>
      </c>
      <c r="K59" s="68">
        <v>51820</v>
      </c>
      <c r="L59" s="68">
        <v>14160</v>
      </c>
      <c r="M59" s="68">
        <v>0</v>
      </c>
      <c r="N59" s="68">
        <v>0</v>
      </c>
      <c r="O59" s="68">
        <v>0</v>
      </c>
      <c r="P59" s="68">
        <v>0</v>
      </c>
      <c r="Q59" s="79">
        <f t="shared" si="18"/>
        <v>595245.4</v>
      </c>
      <c r="R59" s="80">
        <f aca="true" t="shared" si="19" ref="R59:R74">+Q59/C59</f>
        <v>1</v>
      </c>
      <c r="S59" s="81">
        <f t="shared" si="7"/>
        <v>0</v>
      </c>
      <c r="T59" s="82">
        <f t="shared" si="8"/>
        <v>0</v>
      </c>
      <c r="U59" s="79">
        <f>+C59-Q59</f>
        <v>0</v>
      </c>
      <c r="V59" s="80">
        <f aca="true" t="shared" si="20" ref="V59:V77">+U59/C59</f>
        <v>0</v>
      </c>
      <c r="W59" s="3"/>
      <c r="X59" s="3"/>
      <c r="Y59" s="3"/>
      <c r="Z59" s="3"/>
      <c r="AA59" s="3"/>
      <c r="AB59" s="3"/>
      <c r="AC59" s="3"/>
    </row>
    <row r="60" spans="1:29" s="149" customFormat="1" ht="15">
      <c r="A60" s="146" t="s">
        <v>429</v>
      </c>
      <c r="B60" s="42" t="s">
        <v>418</v>
      </c>
      <c r="C60" s="68">
        <f>300000-268199</f>
        <v>31801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31801</v>
      </c>
      <c r="M60" s="68">
        <v>0</v>
      </c>
      <c r="N60" s="68">
        <v>0</v>
      </c>
      <c r="O60" s="68">
        <v>0</v>
      </c>
      <c r="P60" s="68">
        <v>0</v>
      </c>
      <c r="Q60" s="79">
        <f>SUM(E60:P60)</f>
        <v>31801</v>
      </c>
      <c r="R60" s="80">
        <f t="shared" si="19"/>
        <v>1</v>
      </c>
      <c r="S60" s="81">
        <f t="shared" si="7"/>
        <v>0</v>
      </c>
      <c r="T60" s="82">
        <f t="shared" si="8"/>
        <v>0</v>
      </c>
      <c r="U60" s="79">
        <f>+C60-Q60</f>
        <v>0</v>
      </c>
      <c r="V60" s="80">
        <f t="shared" si="20"/>
        <v>0</v>
      </c>
      <c r="W60" s="148"/>
      <c r="X60" s="148"/>
      <c r="Y60" s="148"/>
      <c r="Z60" s="148"/>
      <c r="AA60" s="148"/>
      <c r="AB60" s="148"/>
      <c r="AC60" s="148"/>
    </row>
    <row r="61" spans="1:29" s="7" customFormat="1" ht="15">
      <c r="A61" s="24" t="s">
        <v>50</v>
      </c>
      <c r="B61" s="8" t="s">
        <v>51</v>
      </c>
      <c r="C61" s="117">
        <f>+C62+C63</f>
        <v>6564911.5600000005</v>
      </c>
      <c r="D61" s="117">
        <f>+D62</f>
        <v>0</v>
      </c>
      <c r="E61" s="117">
        <f aca="true" t="shared" si="21" ref="E61:N61">+E62+E63</f>
        <v>689555.02</v>
      </c>
      <c r="F61" s="117">
        <f t="shared" si="21"/>
        <v>760211.87</v>
      </c>
      <c r="G61" s="117">
        <f t="shared" si="21"/>
        <v>43773.3</v>
      </c>
      <c r="H61" s="117">
        <f t="shared" si="21"/>
        <v>32123.69</v>
      </c>
      <c r="I61" s="117">
        <f t="shared" si="21"/>
        <v>117041.51</v>
      </c>
      <c r="J61" s="117">
        <f t="shared" si="21"/>
        <v>67711</v>
      </c>
      <c r="K61" s="117">
        <f t="shared" si="21"/>
        <v>62795.770000000004</v>
      </c>
      <c r="L61" s="117">
        <f t="shared" si="21"/>
        <v>0</v>
      </c>
      <c r="M61" s="117">
        <f t="shared" si="21"/>
        <v>1356484.72</v>
      </c>
      <c r="N61" s="117">
        <f t="shared" si="21"/>
        <v>1303219.93</v>
      </c>
      <c r="O61" s="117">
        <f>+O62+O63</f>
        <v>1153037.35</v>
      </c>
      <c r="P61" s="117">
        <f>+P62+P63</f>
        <v>978957.4</v>
      </c>
      <c r="Q61" s="121">
        <f>SUM(E61:P61)</f>
        <v>6564911.5600000005</v>
      </c>
      <c r="R61" s="122">
        <f t="shared" si="19"/>
        <v>1</v>
      </c>
      <c r="S61" s="121">
        <f t="shared" si="7"/>
        <v>0</v>
      </c>
      <c r="T61" s="122">
        <f t="shared" si="8"/>
        <v>0</v>
      </c>
      <c r="U61" s="121">
        <f>+U62+U63</f>
        <v>0</v>
      </c>
      <c r="V61" s="122">
        <f t="shared" si="20"/>
        <v>0</v>
      </c>
      <c r="W61" s="194">
        <f>+Q61/C61</f>
        <v>1</v>
      </c>
      <c r="X61" s="3"/>
      <c r="Y61" s="3"/>
      <c r="Z61" s="3"/>
      <c r="AA61" s="3"/>
      <c r="AB61" s="3"/>
      <c r="AC61" s="3"/>
    </row>
    <row r="62" spans="1:29" s="7" customFormat="1" ht="15">
      <c r="A62" s="34" t="s">
        <v>167</v>
      </c>
      <c r="B62" s="28" t="s">
        <v>52</v>
      </c>
      <c r="C62" s="69">
        <f>7000000-2100000-5000-1000000+350000+1991778.56</f>
        <v>6236778.5600000005</v>
      </c>
      <c r="D62" s="72"/>
      <c r="E62" s="73">
        <v>689555.02</v>
      </c>
      <c r="F62" s="73">
        <v>760211.87</v>
      </c>
      <c r="G62" s="73">
        <v>43773.3</v>
      </c>
      <c r="H62" s="73">
        <v>32123.69</v>
      </c>
      <c r="I62" s="68">
        <v>117041.51</v>
      </c>
      <c r="J62" s="68">
        <v>0</v>
      </c>
      <c r="K62" s="68">
        <v>11319.77</v>
      </c>
      <c r="L62" s="68">
        <v>0</v>
      </c>
      <c r="M62" s="68">
        <v>1305876.72</v>
      </c>
      <c r="N62" s="68">
        <v>1266024.93</v>
      </c>
      <c r="O62" s="68">
        <v>1093060.35</v>
      </c>
      <c r="P62" s="68">
        <v>917791.4</v>
      </c>
      <c r="Q62" s="79">
        <f t="shared" si="18"/>
        <v>6236778.5600000005</v>
      </c>
      <c r="R62" s="80">
        <f t="shared" si="19"/>
        <v>1</v>
      </c>
      <c r="S62" s="81">
        <f t="shared" si="7"/>
        <v>0</v>
      </c>
      <c r="T62" s="82">
        <f t="shared" si="8"/>
        <v>0</v>
      </c>
      <c r="U62" s="79">
        <f>+C62-Q62</f>
        <v>0</v>
      </c>
      <c r="V62" s="80">
        <f t="shared" si="20"/>
        <v>0</v>
      </c>
      <c r="W62" s="3"/>
      <c r="X62" s="3"/>
      <c r="Y62" s="3"/>
      <c r="Z62" s="3"/>
      <c r="AA62" s="3"/>
      <c r="AB62" s="3"/>
      <c r="AC62" s="3"/>
    </row>
    <row r="63" spans="1:29" s="7" customFormat="1" ht="15">
      <c r="A63" s="96" t="s">
        <v>390</v>
      </c>
      <c r="B63" s="28" t="s">
        <v>389</v>
      </c>
      <c r="C63" s="69">
        <f>100000+100000+10000+118133</f>
        <v>328133</v>
      </c>
      <c r="D63" s="72">
        <v>0</v>
      </c>
      <c r="E63" s="73">
        <v>0</v>
      </c>
      <c r="F63" s="73">
        <v>0</v>
      </c>
      <c r="G63" s="73">
        <v>0</v>
      </c>
      <c r="H63" s="73">
        <v>0</v>
      </c>
      <c r="I63" s="68">
        <v>0</v>
      </c>
      <c r="J63" s="68">
        <v>67711</v>
      </c>
      <c r="K63" s="68">
        <v>51476</v>
      </c>
      <c r="L63" s="68">
        <v>0</v>
      </c>
      <c r="M63" s="68">
        <v>50608</v>
      </c>
      <c r="N63" s="68">
        <v>37195</v>
      </c>
      <c r="O63" s="68">
        <v>59977</v>
      </c>
      <c r="P63" s="68">
        <v>61166</v>
      </c>
      <c r="Q63" s="79">
        <f t="shared" si="18"/>
        <v>328133</v>
      </c>
      <c r="R63" s="80">
        <f t="shared" si="19"/>
        <v>1</v>
      </c>
      <c r="S63" s="81">
        <f t="shared" si="7"/>
        <v>0</v>
      </c>
      <c r="T63" s="82">
        <f t="shared" si="8"/>
        <v>0</v>
      </c>
      <c r="U63" s="79">
        <f>+C63-Q63</f>
        <v>0</v>
      </c>
      <c r="V63" s="80">
        <f t="shared" si="20"/>
        <v>0</v>
      </c>
      <c r="W63" s="3"/>
      <c r="X63" s="3"/>
      <c r="Y63" s="3"/>
      <c r="Z63" s="3"/>
      <c r="AA63" s="3"/>
      <c r="AB63" s="3"/>
      <c r="AC63" s="3"/>
    </row>
    <row r="64" spans="1:29" s="7" customFormat="1" ht="15">
      <c r="A64" s="24" t="s">
        <v>53</v>
      </c>
      <c r="B64" s="8" t="s">
        <v>54</v>
      </c>
      <c r="C64" s="117">
        <f>SUM(C65:C76)</f>
        <v>5381871.82</v>
      </c>
      <c r="D64" s="117">
        <f>+D65+D67+D68+D69+D70+D71+D72+D73+D74+D75+D76</f>
        <v>2682842.32</v>
      </c>
      <c r="E64" s="117">
        <f>+E65+E67+E69+E70+E71+E72+E73+E74+E76</f>
        <v>0</v>
      </c>
      <c r="F64" s="117">
        <f>+F65+F67+F68+F69+F71+F72+F74+F76+F75</f>
        <v>477305.47</v>
      </c>
      <c r="G64" s="117">
        <f>+G65+G67+G68+G69+G70+G71+G72+G73+G74+G75+G76</f>
        <v>5010.86</v>
      </c>
      <c r="H64" s="117">
        <f>+H65+H67+H68+H69+H70+H71+H72+H73+H74+H75+H76</f>
        <v>72232.43</v>
      </c>
      <c r="I64" s="117">
        <f aca="true" t="shared" si="22" ref="I64:N64">+I65+I67+I68+I69+I70+I71+I72+I73+I74+I75+I76</f>
        <v>3722</v>
      </c>
      <c r="J64" s="117">
        <f t="shared" si="22"/>
        <v>2888</v>
      </c>
      <c r="K64" s="117">
        <f t="shared" si="22"/>
        <v>620590</v>
      </c>
      <c r="L64" s="117">
        <f t="shared" si="22"/>
        <v>2863397.16</v>
      </c>
      <c r="M64" s="117">
        <f t="shared" si="22"/>
        <v>10586</v>
      </c>
      <c r="N64" s="117">
        <f t="shared" si="22"/>
        <v>971960.9</v>
      </c>
      <c r="O64" s="117">
        <f>+O65+O67+O68+O69+O70+O71+O72+O73+O74+O75+O76</f>
        <v>7627</v>
      </c>
      <c r="P64" s="117">
        <f>+P65+P67+P68+P69+P72+P73+P74+P75+P76</f>
        <v>346552</v>
      </c>
      <c r="Q64" s="121">
        <f>SUM(E64:O64)</f>
        <v>5035319.82</v>
      </c>
      <c r="R64" s="122">
        <f t="shared" si="19"/>
        <v>0.9356075336628883</v>
      </c>
      <c r="S64" s="121">
        <f t="shared" si="7"/>
        <v>346552</v>
      </c>
      <c r="T64" s="122">
        <f t="shared" si="8"/>
        <v>0.06439246633711168</v>
      </c>
      <c r="U64" s="121">
        <f>+U65+U67+U69+U70+U71+U72+U73+U74+U76</f>
        <v>0</v>
      </c>
      <c r="V64" s="122">
        <f t="shared" si="20"/>
        <v>0</v>
      </c>
      <c r="W64" s="3"/>
      <c r="X64" s="3"/>
      <c r="Y64" s="3"/>
      <c r="Z64" s="3"/>
      <c r="AA64" s="3"/>
      <c r="AB64" s="3"/>
      <c r="AC64" s="3"/>
    </row>
    <row r="65" spans="1:29" s="11" customFormat="1" ht="15">
      <c r="A65" s="55" t="s">
        <v>168</v>
      </c>
      <c r="B65" s="29" t="s">
        <v>55</v>
      </c>
      <c r="C65" s="68">
        <f>2450000-1000000-100000-1007800</f>
        <v>342200</v>
      </c>
      <c r="D65" s="69">
        <v>0</v>
      </c>
      <c r="E65" s="69">
        <v>0</v>
      </c>
      <c r="F65" s="69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342200</v>
      </c>
      <c r="Q65" s="79">
        <f aca="true" t="shared" si="23" ref="Q65:Q76">SUM(E65:P65)</f>
        <v>342200</v>
      </c>
      <c r="R65" s="80">
        <f t="shared" si="19"/>
        <v>1</v>
      </c>
      <c r="S65" s="81">
        <f t="shared" si="7"/>
        <v>0</v>
      </c>
      <c r="T65" s="82">
        <f t="shared" si="8"/>
        <v>0</v>
      </c>
      <c r="U65" s="79">
        <f aca="true" t="shared" si="24" ref="U65:U74">+C65-Q65</f>
        <v>0</v>
      </c>
      <c r="V65" s="80">
        <f t="shared" si="20"/>
        <v>0</v>
      </c>
      <c r="W65" s="10"/>
      <c r="X65" s="10"/>
      <c r="Y65" s="10"/>
      <c r="Z65" s="10"/>
      <c r="AA65" s="10"/>
      <c r="AB65" s="10"/>
      <c r="AC65" s="10"/>
    </row>
    <row r="66" spans="1:29" s="7" customFormat="1" ht="17.25" customHeight="1" hidden="1">
      <c r="A66" s="55" t="s">
        <v>169</v>
      </c>
      <c r="B66" s="30" t="s">
        <v>56</v>
      </c>
      <c r="C66" s="69"/>
      <c r="D66" s="69"/>
      <c r="E66" s="69"/>
      <c r="F66" s="6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79">
        <f t="shared" si="23"/>
        <v>0</v>
      </c>
      <c r="R66" s="80" t="e">
        <f t="shared" si="19"/>
        <v>#DIV/0!</v>
      </c>
      <c r="S66" s="81">
        <f t="shared" si="7"/>
        <v>0</v>
      </c>
      <c r="T66" s="82" t="e">
        <f t="shared" si="8"/>
        <v>#DIV/0!</v>
      </c>
      <c r="U66" s="79">
        <f t="shared" si="24"/>
        <v>0</v>
      </c>
      <c r="V66" s="80" t="e">
        <f t="shared" si="20"/>
        <v>#DIV/0!</v>
      </c>
      <c r="W66" s="3"/>
      <c r="X66" s="3"/>
      <c r="Y66" s="3"/>
      <c r="Z66" s="3"/>
      <c r="AA66" s="3"/>
      <c r="AB66" s="3"/>
      <c r="AC66" s="3"/>
    </row>
    <row r="67" spans="1:29" s="7" customFormat="1" ht="30.75" customHeight="1">
      <c r="A67" s="55" t="s">
        <v>213</v>
      </c>
      <c r="B67" s="35" t="s">
        <v>278</v>
      </c>
      <c r="C67" s="69">
        <v>0</v>
      </c>
      <c r="D67" s="69"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79">
        <f t="shared" si="23"/>
        <v>0</v>
      </c>
      <c r="R67" s="80" t="e">
        <f t="shared" si="19"/>
        <v>#DIV/0!</v>
      </c>
      <c r="S67" s="81">
        <f t="shared" si="7"/>
        <v>0</v>
      </c>
      <c r="T67" s="82" t="e">
        <f t="shared" si="8"/>
        <v>#DIV/0!</v>
      </c>
      <c r="U67" s="79">
        <f t="shared" si="24"/>
        <v>0</v>
      </c>
      <c r="V67" s="80" t="e">
        <f t="shared" si="20"/>
        <v>#DIV/0!</v>
      </c>
      <c r="W67" s="3"/>
      <c r="X67" s="3"/>
      <c r="Y67" s="3"/>
      <c r="Z67" s="3"/>
      <c r="AA67" s="3"/>
      <c r="AB67" s="3"/>
      <c r="AC67" s="3"/>
    </row>
    <row r="68" spans="1:29" s="7" customFormat="1" ht="30.75" customHeight="1">
      <c r="A68" s="136" t="s">
        <v>412</v>
      </c>
      <c r="B68" s="35" t="s">
        <v>413</v>
      </c>
      <c r="C68" s="69">
        <f>100000+700000-122149</f>
        <v>677851</v>
      </c>
      <c r="D68" s="69">
        <v>0</v>
      </c>
      <c r="E68" s="68">
        <v>0</v>
      </c>
      <c r="F68" s="68">
        <v>0</v>
      </c>
      <c r="G68" s="68">
        <v>0</v>
      </c>
      <c r="H68" s="68">
        <v>60534</v>
      </c>
      <c r="I68" s="68">
        <v>0</v>
      </c>
      <c r="J68" s="68">
        <v>0</v>
      </c>
      <c r="K68" s="68">
        <v>609057</v>
      </c>
      <c r="L68" s="68">
        <v>0</v>
      </c>
      <c r="M68" s="68">
        <v>8260</v>
      </c>
      <c r="N68" s="68">
        <v>0</v>
      </c>
      <c r="O68" s="68">
        <v>0</v>
      </c>
      <c r="P68" s="68">
        <v>0</v>
      </c>
      <c r="Q68" s="79">
        <f>SUM(E68:P68)</f>
        <v>677851</v>
      </c>
      <c r="R68" s="80">
        <f t="shared" si="19"/>
        <v>1</v>
      </c>
      <c r="S68" s="81">
        <f t="shared" si="7"/>
        <v>0</v>
      </c>
      <c r="T68" s="82">
        <f t="shared" si="8"/>
        <v>0</v>
      </c>
      <c r="U68" s="79">
        <f t="shared" si="24"/>
        <v>0</v>
      </c>
      <c r="V68" s="80">
        <f t="shared" si="20"/>
        <v>0</v>
      </c>
      <c r="W68" s="3"/>
      <c r="X68" s="3"/>
      <c r="Y68" s="3"/>
      <c r="Z68" s="3"/>
      <c r="AA68" s="3"/>
      <c r="AB68" s="3"/>
      <c r="AC68" s="3"/>
    </row>
    <row r="69" spans="1:29" s="7" customFormat="1" ht="30.75" customHeight="1">
      <c r="A69" s="48" t="s">
        <v>169</v>
      </c>
      <c r="B69" s="35" t="s">
        <v>320</v>
      </c>
      <c r="C69" s="69">
        <v>0</v>
      </c>
      <c r="D69" s="69">
        <v>0</v>
      </c>
      <c r="E69" s="69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79">
        <f t="shared" si="23"/>
        <v>0</v>
      </c>
      <c r="R69" s="80" t="e">
        <f t="shared" si="19"/>
        <v>#DIV/0!</v>
      </c>
      <c r="S69" s="81">
        <f t="shared" si="7"/>
        <v>0</v>
      </c>
      <c r="T69" s="82" t="e">
        <f t="shared" si="8"/>
        <v>#DIV/0!</v>
      </c>
      <c r="U69" s="79">
        <f t="shared" si="24"/>
        <v>0</v>
      </c>
      <c r="V69" s="80" t="e">
        <f t="shared" si="20"/>
        <v>#DIV/0!</v>
      </c>
      <c r="W69" s="3"/>
      <c r="X69" s="3"/>
      <c r="Y69" s="3"/>
      <c r="Z69" s="3"/>
      <c r="AA69" s="3"/>
      <c r="AB69" s="3"/>
      <c r="AC69" s="3"/>
    </row>
    <row r="70" spans="1:29" s="7" customFormat="1" ht="31.5" customHeight="1">
      <c r="A70" s="55" t="s">
        <v>245</v>
      </c>
      <c r="B70" s="35" t="s">
        <v>286</v>
      </c>
      <c r="C70" s="69">
        <v>0</v>
      </c>
      <c r="D70" s="69">
        <v>0</v>
      </c>
      <c r="E70" s="69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79">
        <f t="shared" si="23"/>
        <v>0</v>
      </c>
      <c r="R70" s="80" t="e">
        <f t="shared" si="19"/>
        <v>#DIV/0!</v>
      </c>
      <c r="S70" s="81">
        <f t="shared" si="7"/>
        <v>0</v>
      </c>
      <c r="T70" s="82" t="e">
        <f t="shared" si="8"/>
        <v>#DIV/0!</v>
      </c>
      <c r="U70" s="79">
        <f t="shared" si="24"/>
        <v>0</v>
      </c>
      <c r="V70" s="80" t="e">
        <f t="shared" si="20"/>
        <v>#DIV/0!</v>
      </c>
      <c r="W70" s="3"/>
      <c r="X70" s="3"/>
      <c r="Y70" s="3"/>
      <c r="Z70" s="3"/>
      <c r="AA70" s="3"/>
      <c r="AB70" s="3"/>
      <c r="AC70" s="3"/>
    </row>
    <row r="71" spans="1:29" s="7" customFormat="1" ht="30.75" customHeight="1">
      <c r="A71" s="55" t="s">
        <v>170</v>
      </c>
      <c r="B71" s="62" t="s">
        <v>414</v>
      </c>
      <c r="C71" s="69">
        <f>300000-250000-48500.01</f>
        <v>1499.989999999998</v>
      </c>
      <c r="D71" s="69">
        <v>0</v>
      </c>
      <c r="E71" s="69">
        <v>0</v>
      </c>
      <c r="F71" s="69">
        <v>0</v>
      </c>
      <c r="G71" s="68">
        <v>0</v>
      </c>
      <c r="H71" s="68">
        <v>1499.99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79">
        <f t="shared" si="23"/>
        <v>1499.99</v>
      </c>
      <c r="R71" s="80">
        <f t="shared" si="19"/>
        <v>1.0000000000000013</v>
      </c>
      <c r="S71" s="81">
        <f t="shared" si="7"/>
        <v>-2.0463630789890885E-12</v>
      </c>
      <c r="T71" s="82">
        <f t="shared" si="8"/>
        <v>-1.3642511476670453E-15</v>
      </c>
      <c r="U71" s="79">
        <v>0</v>
      </c>
      <c r="V71" s="80">
        <f t="shared" si="20"/>
        <v>0</v>
      </c>
      <c r="W71" s="3"/>
      <c r="X71" s="3"/>
      <c r="Y71" s="3"/>
      <c r="Z71" s="3"/>
      <c r="AA71" s="3"/>
      <c r="AB71" s="3"/>
      <c r="AC71" s="3"/>
    </row>
    <row r="72" spans="1:29" s="7" customFormat="1" ht="30">
      <c r="A72" s="55" t="s">
        <v>171</v>
      </c>
      <c r="B72" s="39" t="s">
        <v>432</v>
      </c>
      <c r="C72" s="69">
        <f>550000+900000-34938.1</f>
        <v>1415061.9</v>
      </c>
      <c r="D72" s="69">
        <v>0</v>
      </c>
      <c r="E72" s="69">
        <v>0</v>
      </c>
      <c r="F72" s="69">
        <v>437308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8024</v>
      </c>
      <c r="M72" s="68">
        <v>0</v>
      </c>
      <c r="N72" s="68">
        <v>969729.9</v>
      </c>
      <c r="O72" s="68">
        <v>0</v>
      </c>
      <c r="P72" s="68">
        <v>0</v>
      </c>
      <c r="Q72" s="79">
        <f t="shared" si="23"/>
        <v>1415061.9</v>
      </c>
      <c r="R72" s="80">
        <f t="shared" si="19"/>
        <v>1</v>
      </c>
      <c r="S72" s="81">
        <f t="shared" si="7"/>
        <v>0</v>
      </c>
      <c r="T72" s="82">
        <f t="shared" si="8"/>
        <v>0</v>
      </c>
      <c r="U72" s="79">
        <f t="shared" si="24"/>
        <v>0</v>
      </c>
      <c r="V72" s="80">
        <f t="shared" si="20"/>
        <v>0</v>
      </c>
      <c r="W72" s="3"/>
      <c r="X72" s="3"/>
      <c r="Y72" s="3"/>
      <c r="Z72" s="3"/>
      <c r="AA72" s="3"/>
      <c r="AB72" s="3"/>
      <c r="AC72" s="3"/>
    </row>
    <row r="73" spans="1:29" s="7" customFormat="1" ht="27.75" customHeight="1">
      <c r="A73" s="55" t="s">
        <v>172</v>
      </c>
      <c r="B73" s="40" t="s">
        <v>284</v>
      </c>
      <c r="C73" s="69">
        <v>0</v>
      </c>
      <c r="D73" s="69">
        <v>0</v>
      </c>
      <c r="E73" s="69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79">
        <f t="shared" si="23"/>
        <v>0</v>
      </c>
      <c r="R73" s="80" t="e">
        <f t="shared" si="19"/>
        <v>#DIV/0!</v>
      </c>
      <c r="S73" s="81">
        <f t="shared" si="7"/>
        <v>0</v>
      </c>
      <c r="T73" s="82" t="e">
        <f t="shared" si="8"/>
        <v>#DIV/0!</v>
      </c>
      <c r="U73" s="79">
        <f t="shared" si="24"/>
        <v>0</v>
      </c>
      <c r="V73" s="80" t="e">
        <f t="shared" si="20"/>
        <v>#DIV/0!</v>
      </c>
      <c r="W73" s="3"/>
      <c r="X73" s="3"/>
      <c r="Y73" s="3"/>
      <c r="Z73" s="3"/>
      <c r="AA73" s="3"/>
      <c r="AB73" s="3"/>
      <c r="AC73" s="3"/>
    </row>
    <row r="74" spans="1:29" s="7" customFormat="1" ht="27.75" customHeight="1">
      <c r="A74" s="55" t="s">
        <v>173</v>
      </c>
      <c r="B74" s="41" t="s">
        <v>285</v>
      </c>
      <c r="C74" s="69">
        <v>0</v>
      </c>
      <c r="D74" s="69">
        <v>0</v>
      </c>
      <c r="E74" s="69">
        <v>0</v>
      </c>
      <c r="F74" s="69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79">
        <f t="shared" si="23"/>
        <v>0</v>
      </c>
      <c r="R74" s="80" t="e">
        <f t="shared" si="19"/>
        <v>#DIV/0!</v>
      </c>
      <c r="S74" s="81">
        <f t="shared" si="7"/>
        <v>0</v>
      </c>
      <c r="T74" s="82" t="e">
        <f t="shared" si="8"/>
        <v>#DIV/0!</v>
      </c>
      <c r="U74" s="79">
        <f t="shared" si="24"/>
        <v>0</v>
      </c>
      <c r="V74" s="80" t="e">
        <f t="shared" si="20"/>
        <v>#DIV/0!</v>
      </c>
      <c r="W74" s="3"/>
      <c r="X74" s="3"/>
      <c r="Y74" s="3"/>
      <c r="Z74" s="3"/>
      <c r="AA74" s="3"/>
      <c r="AB74" s="3"/>
      <c r="AC74" s="3"/>
    </row>
    <row r="75" spans="1:29" s="7" customFormat="1" ht="30">
      <c r="A75" s="136" t="s">
        <v>174</v>
      </c>
      <c r="B75" s="39" t="s">
        <v>287</v>
      </c>
      <c r="C75" s="69">
        <f>2500000+500000-57034.07</f>
        <v>2942965.93</v>
      </c>
      <c r="D75" s="69">
        <v>2682842.32</v>
      </c>
      <c r="E75" s="68">
        <v>0</v>
      </c>
      <c r="F75" s="68">
        <v>39997.47</v>
      </c>
      <c r="G75" s="68">
        <v>5010.86</v>
      </c>
      <c r="H75" s="68">
        <v>10198.44</v>
      </c>
      <c r="I75" s="68">
        <v>3722</v>
      </c>
      <c r="J75" s="68">
        <v>595</v>
      </c>
      <c r="K75" s="68">
        <v>11533</v>
      </c>
      <c r="L75" s="68">
        <v>2855373.16</v>
      </c>
      <c r="M75" s="68">
        <v>2326</v>
      </c>
      <c r="N75" s="68">
        <v>2231</v>
      </c>
      <c r="O75" s="68">
        <v>7627</v>
      </c>
      <c r="P75" s="68">
        <v>4352</v>
      </c>
      <c r="Q75" s="79">
        <f>SUM(D75:P75)</f>
        <v>5625808.25</v>
      </c>
      <c r="R75" s="80">
        <f>+Q75/(D75+C75)</f>
        <v>1</v>
      </c>
      <c r="S75" s="81">
        <f t="shared" si="7"/>
        <v>-2682842.32</v>
      </c>
      <c r="T75" s="82">
        <f t="shared" si="8"/>
        <v>-0.9116117494435281</v>
      </c>
      <c r="U75" s="79">
        <f>+C75+D75-Q75</f>
        <v>0</v>
      </c>
      <c r="V75" s="80">
        <f t="shared" si="20"/>
        <v>0</v>
      </c>
      <c r="W75" s="3"/>
      <c r="X75" s="3"/>
      <c r="Y75" s="3"/>
      <c r="Z75" s="3"/>
      <c r="AA75" s="3"/>
      <c r="AB75" s="3"/>
      <c r="AC75" s="3"/>
    </row>
    <row r="76" spans="1:29" s="7" customFormat="1" ht="45">
      <c r="A76" s="142" t="s">
        <v>424</v>
      </c>
      <c r="B76" s="39" t="s">
        <v>425</v>
      </c>
      <c r="C76" s="69">
        <f>10000+7707-15414</f>
        <v>2293</v>
      </c>
      <c r="D76" s="69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2293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79">
        <f t="shared" si="23"/>
        <v>2293</v>
      </c>
      <c r="R76" s="80">
        <f>+Q76/C76</f>
        <v>1</v>
      </c>
      <c r="S76" s="81">
        <f t="shared" si="7"/>
        <v>0</v>
      </c>
      <c r="T76" s="82">
        <f t="shared" si="8"/>
        <v>0</v>
      </c>
      <c r="U76" s="79">
        <f>+C76-Q76</f>
        <v>0</v>
      </c>
      <c r="V76" s="80">
        <f t="shared" si="20"/>
        <v>0</v>
      </c>
      <c r="W76" s="3"/>
      <c r="X76" s="3"/>
      <c r="Y76" s="3"/>
      <c r="Z76" s="3"/>
      <c r="AA76" s="3"/>
      <c r="AB76" s="3"/>
      <c r="AC76" s="3"/>
    </row>
    <row r="77" spans="1:29" ht="15">
      <c r="A77" s="24" t="s">
        <v>57</v>
      </c>
      <c r="B77" s="8" t="s">
        <v>58</v>
      </c>
      <c r="C77" s="117">
        <f>SUM(C79:C94)</f>
        <v>59361703.79</v>
      </c>
      <c r="D77" s="117">
        <f>+D79+D80+D81+D82+D83+D84+D85+D89+D91+D92+D93+D94</f>
        <v>0</v>
      </c>
      <c r="E77" s="117">
        <f>+E79+E80+E81+E83+E84+E86+E87+E88+E89+E90+E92+E93+E94</f>
        <v>3231324.86</v>
      </c>
      <c r="F77" s="117">
        <f>+F79+F80+F81+F83+F84+F86+F87+F88+F89+F90+F92+F93+F94</f>
        <v>3793713.95</v>
      </c>
      <c r="G77" s="117">
        <f>+G79+G80+G81+G83+G84+G86+G87+G88+G89+G90+G92+G93+G94</f>
        <v>3607130.32</v>
      </c>
      <c r="H77" s="117">
        <f>+H79+H80+H81+H82+H84+H85+H86+H87+H88+H89+H90+H91+H92+H93+H94</f>
        <v>7106406.38</v>
      </c>
      <c r="I77" s="117">
        <f aca="true" t="shared" si="25" ref="I77:N77">+I79+I80+I81+I82+I83+I84+I85+I86+I87+I88+I89+I90+I91+I92+I93+I94</f>
        <v>3841501.91</v>
      </c>
      <c r="J77" s="117">
        <f t="shared" si="25"/>
        <v>5259297.22</v>
      </c>
      <c r="K77" s="117">
        <f t="shared" si="25"/>
        <v>9958280.71</v>
      </c>
      <c r="L77" s="117">
        <f t="shared" si="25"/>
        <v>4613048.859999999</v>
      </c>
      <c r="M77" s="117">
        <f t="shared" si="25"/>
        <v>3941521.89</v>
      </c>
      <c r="N77" s="117">
        <f t="shared" si="25"/>
        <v>4045181.8899999997</v>
      </c>
      <c r="O77" s="117">
        <f>+O79+O80+O81+O82+O83+O84+O85+O86+O87+O88+O89+O90+O91+O92+O93+O94</f>
        <v>3631257.9299999997</v>
      </c>
      <c r="P77" s="117">
        <f>+P79+P80+P81+P82+P83+P84+P85+P86+P87+P88+P89+P90+P91+P92+P93+P94</f>
        <v>6333037.87</v>
      </c>
      <c r="Q77" s="121">
        <f>SUM(E77:O78)</f>
        <v>53028665.92</v>
      </c>
      <c r="R77" s="122">
        <f>+Q77/C77</f>
        <v>0.8933144187976145</v>
      </c>
      <c r="S77" s="121">
        <f t="shared" si="7"/>
        <v>6333037.869999997</v>
      </c>
      <c r="T77" s="122">
        <f t="shared" si="8"/>
        <v>0.10668558120238546</v>
      </c>
      <c r="U77" s="121">
        <f>+U79+U80+U81+U82+U83+U84+U89+U91+U92+U93+U94</f>
        <v>0</v>
      </c>
      <c r="V77" s="122">
        <f t="shared" si="20"/>
        <v>0</v>
      </c>
      <c r="W77" s="37"/>
      <c r="X77" s="3"/>
      <c r="Y77" s="3"/>
      <c r="Z77" s="3"/>
      <c r="AA77" s="3"/>
      <c r="AB77" s="3"/>
      <c r="AC77" s="3"/>
    </row>
    <row r="78" spans="1:29" ht="17.25" customHeight="1" hidden="1">
      <c r="A78" s="25" t="s">
        <v>59</v>
      </c>
      <c r="B78" s="9" t="s">
        <v>60</v>
      </c>
      <c r="C78" s="69">
        <v>0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7"/>
      <c r="R78" s="87"/>
      <c r="S78" s="85">
        <v>0</v>
      </c>
      <c r="T78" s="85"/>
      <c r="U78" s="87"/>
      <c r="V78" s="87"/>
      <c r="W78" s="3"/>
      <c r="X78" s="3"/>
      <c r="Y78" s="3"/>
      <c r="Z78" s="3"/>
      <c r="AA78" s="3"/>
      <c r="AB78" s="3"/>
      <c r="AC78" s="3"/>
    </row>
    <row r="79" spans="1:29" ht="15">
      <c r="A79" s="34" t="s">
        <v>214</v>
      </c>
      <c r="B79" s="29" t="s">
        <v>60</v>
      </c>
      <c r="C79" s="69">
        <v>0</v>
      </c>
      <c r="D79" s="69">
        <v>0</v>
      </c>
      <c r="E79" s="69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79">
        <f aca="true" t="shared" si="26" ref="Q79:Q94">SUM(E79:P79)</f>
        <v>0</v>
      </c>
      <c r="R79" s="80" t="e">
        <f aca="true" t="shared" si="27" ref="R79:R94">+Q79/C79</f>
        <v>#DIV/0!</v>
      </c>
      <c r="S79" s="81">
        <f aca="true" t="shared" si="28" ref="S79:S94">+C79-Q79</f>
        <v>0</v>
      </c>
      <c r="T79" s="82" t="e">
        <f aca="true" t="shared" si="29" ref="T79:T94">+S79/C79</f>
        <v>#DIV/0!</v>
      </c>
      <c r="U79" s="79">
        <f aca="true" t="shared" si="30" ref="U79:U94">+C79-Q79</f>
        <v>0</v>
      </c>
      <c r="V79" s="80" t="e">
        <f aca="true" t="shared" si="31" ref="V79:V94">+U79/C79</f>
        <v>#DIV/0!</v>
      </c>
      <c r="W79" s="3"/>
      <c r="X79" s="3"/>
      <c r="Y79" s="3"/>
      <c r="Z79" s="3"/>
      <c r="AA79" s="3"/>
      <c r="AB79" s="3"/>
      <c r="AC79" s="3"/>
    </row>
    <row r="80" spans="1:29" ht="15">
      <c r="A80" s="34" t="s">
        <v>175</v>
      </c>
      <c r="B80" s="29" t="s">
        <v>61</v>
      </c>
      <c r="C80" s="69">
        <f>1000000+600000+150000+445239.85</f>
        <v>2195239.85</v>
      </c>
      <c r="D80" s="69">
        <v>0</v>
      </c>
      <c r="E80" s="69">
        <v>12289.58</v>
      </c>
      <c r="F80" s="69">
        <v>254687.77</v>
      </c>
      <c r="G80" s="68">
        <v>152067.75</v>
      </c>
      <c r="H80" s="68">
        <v>133852.28</v>
      </c>
      <c r="I80" s="68">
        <v>251242.11</v>
      </c>
      <c r="J80" s="68">
        <v>148637.29</v>
      </c>
      <c r="K80" s="68">
        <v>300516.18</v>
      </c>
      <c r="L80" s="68">
        <v>175219.28</v>
      </c>
      <c r="M80" s="68">
        <v>152983.26</v>
      </c>
      <c r="N80" s="68">
        <v>154110.2</v>
      </c>
      <c r="O80" s="68">
        <v>171373.6</v>
      </c>
      <c r="P80" s="68">
        <v>288260.55</v>
      </c>
      <c r="Q80" s="79">
        <f t="shared" si="26"/>
        <v>2195239.85</v>
      </c>
      <c r="R80" s="80">
        <f t="shared" si="27"/>
        <v>1</v>
      </c>
      <c r="S80" s="81">
        <f t="shared" si="28"/>
        <v>0</v>
      </c>
      <c r="T80" s="82">
        <f t="shared" si="29"/>
        <v>0</v>
      </c>
      <c r="U80" s="79">
        <f t="shared" si="30"/>
        <v>0</v>
      </c>
      <c r="V80" s="80">
        <f t="shared" si="31"/>
        <v>0</v>
      </c>
      <c r="W80" s="3"/>
      <c r="X80" s="3"/>
      <c r="Y80" s="3"/>
      <c r="Z80" s="3"/>
      <c r="AA80" s="3"/>
      <c r="AB80" s="3"/>
      <c r="AC80" s="3"/>
    </row>
    <row r="81" spans="1:29" ht="15">
      <c r="A81" s="34" t="s">
        <v>237</v>
      </c>
      <c r="B81" s="29" t="s">
        <v>236</v>
      </c>
      <c r="C81" s="69">
        <v>0</v>
      </c>
      <c r="D81" s="69">
        <v>0</v>
      </c>
      <c r="E81" s="69">
        <v>0</v>
      </c>
      <c r="F81" s="69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79">
        <f t="shared" si="26"/>
        <v>0</v>
      </c>
      <c r="R81" s="80" t="e">
        <f t="shared" si="27"/>
        <v>#DIV/0!</v>
      </c>
      <c r="S81" s="81">
        <f t="shared" si="28"/>
        <v>0</v>
      </c>
      <c r="T81" s="82" t="e">
        <f t="shared" si="29"/>
        <v>#DIV/0!</v>
      </c>
      <c r="U81" s="79">
        <f t="shared" si="30"/>
        <v>0</v>
      </c>
      <c r="V81" s="80" t="e">
        <f t="shared" si="31"/>
        <v>#DIV/0!</v>
      </c>
      <c r="W81" s="3"/>
      <c r="X81" s="3"/>
      <c r="Y81" s="3"/>
      <c r="Z81" s="3"/>
      <c r="AA81" s="3"/>
      <c r="AB81" s="3"/>
      <c r="AC81" s="3"/>
    </row>
    <row r="82" spans="1:29" ht="15">
      <c r="A82" s="34" t="s">
        <v>176</v>
      </c>
      <c r="B82" s="29" t="s">
        <v>62</v>
      </c>
      <c r="C82" s="69">
        <v>0</v>
      </c>
      <c r="D82" s="69">
        <v>0</v>
      </c>
      <c r="E82" s="69">
        <v>0</v>
      </c>
      <c r="F82" s="69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79">
        <f t="shared" si="26"/>
        <v>0</v>
      </c>
      <c r="R82" s="80" t="e">
        <f t="shared" si="27"/>
        <v>#DIV/0!</v>
      </c>
      <c r="S82" s="81">
        <f t="shared" si="28"/>
        <v>0</v>
      </c>
      <c r="T82" s="82" t="e">
        <f t="shared" si="29"/>
        <v>#DIV/0!</v>
      </c>
      <c r="U82" s="79">
        <f t="shared" si="30"/>
        <v>0</v>
      </c>
      <c r="V82" s="80" t="e">
        <f t="shared" si="31"/>
        <v>#DIV/0!</v>
      </c>
      <c r="W82" s="3"/>
      <c r="X82" s="3"/>
      <c r="Y82" s="3"/>
      <c r="Z82" s="3"/>
      <c r="AA82" s="3"/>
      <c r="AB82" s="3"/>
      <c r="AC82" s="3"/>
    </row>
    <row r="83" spans="1:22" s="3" customFormat="1" ht="15">
      <c r="A83" s="34" t="s">
        <v>224</v>
      </c>
      <c r="B83" s="29" t="s">
        <v>225</v>
      </c>
      <c r="C83" s="69">
        <f>150000+50000-12852</f>
        <v>187148</v>
      </c>
      <c r="D83" s="69">
        <v>0</v>
      </c>
      <c r="E83" s="69">
        <v>0</v>
      </c>
      <c r="F83" s="68">
        <v>0</v>
      </c>
      <c r="G83" s="68">
        <v>0</v>
      </c>
      <c r="H83" s="68">
        <v>0</v>
      </c>
      <c r="I83" s="68">
        <v>95580</v>
      </c>
      <c r="J83" s="68">
        <v>0</v>
      </c>
      <c r="K83" s="68">
        <v>0</v>
      </c>
      <c r="L83" s="68">
        <v>91568</v>
      </c>
      <c r="M83" s="68">
        <v>0</v>
      </c>
      <c r="N83" s="68">
        <v>0</v>
      </c>
      <c r="O83" s="68">
        <v>0</v>
      </c>
      <c r="P83" s="68">
        <v>0</v>
      </c>
      <c r="Q83" s="79">
        <f t="shared" si="26"/>
        <v>187148</v>
      </c>
      <c r="R83" s="80">
        <f t="shared" si="27"/>
        <v>1</v>
      </c>
      <c r="S83" s="81">
        <f t="shared" si="28"/>
        <v>0</v>
      </c>
      <c r="T83" s="82">
        <f t="shared" si="29"/>
        <v>0</v>
      </c>
      <c r="U83" s="79">
        <f t="shared" si="30"/>
        <v>0</v>
      </c>
      <c r="V83" s="80">
        <f t="shared" si="31"/>
        <v>0</v>
      </c>
    </row>
    <row r="84" spans="1:22" s="3" customFormat="1" ht="15">
      <c r="A84" s="34" t="s">
        <v>177</v>
      </c>
      <c r="B84" s="29" t="s">
        <v>63</v>
      </c>
      <c r="C84" s="69">
        <f>125000-123360</f>
        <v>1640</v>
      </c>
      <c r="D84" s="69">
        <v>0</v>
      </c>
      <c r="E84" s="69">
        <v>0</v>
      </c>
      <c r="F84" s="68">
        <v>660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980</v>
      </c>
      <c r="M84" s="68">
        <v>0</v>
      </c>
      <c r="N84" s="68">
        <v>0</v>
      </c>
      <c r="O84" s="68">
        <v>0</v>
      </c>
      <c r="P84" s="68">
        <v>0</v>
      </c>
      <c r="Q84" s="79">
        <f t="shared" si="26"/>
        <v>1640</v>
      </c>
      <c r="R84" s="80">
        <f t="shared" si="27"/>
        <v>1</v>
      </c>
      <c r="S84" s="81">
        <f t="shared" si="28"/>
        <v>0</v>
      </c>
      <c r="T84" s="82">
        <f t="shared" si="29"/>
        <v>0</v>
      </c>
      <c r="U84" s="79">
        <f t="shared" si="30"/>
        <v>0</v>
      </c>
      <c r="V84" s="80">
        <f t="shared" si="31"/>
        <v>0</v>
      </c>
    </row>
    <row r="85" spans="1:22" s="3" customFormat="1" ht="15">
      <c r="A85" s="34" t="s">
        <v>215</v>
      </c>
      <c r="B85" s="29" t="s">
        <v>216</v>
      </c>
      <c r="C85" s="69">
        <f>600000-8270.4</f>
        <v>591729.6</v>
      </c>
      <c r="D85" s="69">
        <v>0</v>
      </c>
      <c r="E85" s="69">
        <v>0</v>
      </c>
      <c r="F85" s="68">
        <v>0</v>
      </c>
      <c r="G85" s="68">
        <v>0</v>
      </c>
      <c r="H85" s="68">
        <v>96129.6</v>
      </c>
      <c r="I85" s="68">
        <v>0</v>
      </c>
      <c r="J85" s="68">
        <v>495600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79">
        <f t="shared" si="26"/>
        <v>591729.6</v>
      </c>
      <c r="R85" s="80">
        <f t="shared" si="27"/>
        <v>1</v>
      </c>
      <c r="S85" s="81">
        <f t="shared" si="28"/>
        <v>0</v>
      </c>
      <c r="T85" s="82">
        <f t="shared" si="29"/>
        <v>0</v>
      </c>
      <c r="U85" s="79">
        <f t="shared" si="30"/>
        <v>0</v>
      </c>
      <c r="V85" s="80">
        <f t="shared" si="31"/>
        <v>0</v>
      </c>
    </row>
    <row r="86" spans="1:22" s="3" customFormat="1" ht="15">
      <c r="A86" s="60" t="s">
        <v>331</v>
      </c>
      <c r="B86" s="29" t="s">
        <v>332</v>
      </c>
      <c r="C86" s="69">
        <v>0</v>
      </c>
      <c r="D86" s="69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79">
        <f t="shared" si="26"/>
        <v>0</v>
      </c>
      <c r="R86" s="80" t="e">
        <f t="shared" si="27"/>
        <v>#DIV/0!</v>
      </c>
      <c r="S86" s="81">
        <f t="shared" si="28"/>
        <v>0</v>
      </c>
      <c r="T86" s="82" t="e">
        <f t="shared" si="29"/>
        <v>#DIV/0!</v>
      </c>
      <c r="U86" s="79">
        <f t="shared" si="30"/>
        <v>0</v>
      </c>
      <c r="V86" s="80" t="e">
        <f t="shared" si="31"/>
        <v>#DIV/0!</v>
      </c>
    </row>
    <row r="87" spans="1:22" s="3" customFormat="1" ht="30">
      <c r="A87" s="66" t="s">
        <v>352</v>
      </c>
      <c r="B87" s="62" t="s">
        <v>353</v>
      </c>
      <c r="C87" s="69">
        <v>0</v>
      </c>
      <c r="D87" s="69">
        <v>0</v>
      </c>
      <c r="E87" s="69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79">
        <f t="shared" si="26"/>
        <v>0</v>
      </c>
      <c r="R87" s="80" t="e">
        <f t="shared" si="27"/>
        <v>#DIV/0!</v>
      </c>
      <c r="S87" s="81">
        <f t="shared" si="28"/>
        <v>0</v>
      </c>
      <c r="T87" s="82" t="e">
        <f t="shared" si="29"/>
        <v>#DIV/0!</v>
      </c>
      <c r="U87" s="79">
        <f t="shared" si="30"/>
        <v>0</v>
      </c>
      <c r="V87" s="80" t="e">
        <f t="shared" si="31"/>
        <v>#DIV/0!</v>
      </c>
    </row>
    <row r="88" spans="1:22" s="3" customFormat="1" ht="15">
      <c r="A88" s="76" t="s">
        <v>380</v>
      </c>
      <c r="B88" s="62" t="s">
        <v>381</v>
      </c>
      <c r="C88" s="69">
        <v>0</v>
      </c>
      <c r="D88" s="69">
        <v>0</v>
      </c>
      <c r="E88" s="69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79">
        <f t="shared" si="26"/>
        <v>0</v>
      </c>
      <c r="R88" s="80" t="e">
        <f t="shared" si="27"/>
        <v>#DIV/0!</v>
      </c>
      <c r="S88" s="81">
        <f t="shared" si="28"/>
        <v>0</v>
      </c>
      <c r="T88" s="82" t="e">
        <f t="shared" si="29"/>
        <v>#DIV/0!</v>
      </c>
      <c r="U88" s="79">
        <f t="shared" si="30"/>
        <v>0</v>
      </c>
      <c r="V88" s="80" t="e">
        <f t="shared" si="31"/>
        <v>#DIV/0!</v>
      </c>
    </row>
    <row r="89" spans="1:22" s="3" customFormat="1" ht="15">
      <c r="A89" s="34" t="s">
        <v>267</v>
      </c>
      <c r="B89" s="29" t="s">
        <v>268</v>
      </c>
      <c r="C89" s="69">
        <f>500000+100000+54500</f>
        <v>654500</v>
      </c>
      <c r="D89" s="69">
        <v>0</v>
      </c>
      <c r="E89" s="69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364500</v>
      </c>
      <c r="M89" s="68">
        <v>90000</v>
      </c>
      <c r="N89" s="68">
        <v>100000</v>
      </c>
      <c r="O89" s="68">
        <v>100000</v>
      </c>
      <c r="P89" s="68">
        <v>0</v>
      </c>
      <c r="Q89" s="79">
        <f t="shared" si="26"/>
        <v>654500</v>
      </c>
      <c r="R89" s="80">
        <f t="shared" si="27"/>
        <v>1</v>
      </c>
      <c r="S89" s="81">
        <f t="shared" si="28"/>
        <v>0</v>
      </c>
      <c r="T89" s="82">
        <f t="shared" si="29"/>
        <v>0</v>
      </c>
      <c r="U89" s="79">
        <f t="shared" si="30"/>
        <v>0</v>
      </c>
      <c r="V89" s="80">
        <f t="shared" si="31"/>
        <v>0</v>
      </c>
    </row>
    <row r="90" spans="1:22" s="3" customFormat="1" ht="30">
      <c r="A90" s="76" t="s">
        <v>376</v>
      </c>
      <c r="B90" s="40" t="s">
        <v>377</v>
      </c>
      <c r="C90" s="69">
        <f>30000-12252.8</f>
        <v>17747.2</v>
      </c>
      <c r="D90" s="69">
        <v>0</v>
      </c>
      <c r="E90" s="69">
        <v>0</v>
      </c>
      <c r="F90" s="73">
        <v>0</v>
      </c>
      <c r="G90" s="68">
        <v>0</v>
      </c>
      <c r="H90" s="68">
        <v>0</v>
      </c>
      <c r="I90" s="68">
        <v>17747.2</v>
      </c>
      <c r="J90" s="68">
        <v>0</v>
      </c>
      <c r="K90" s="68">
        <v>0</v>
      </c>
      <c r="L90" s="68">
        <v>0</v>
      </c>
      <c r="M90" s="68">
        <v>0</v>
      </c>
      <c r="N90" s="68"/>
      <c r="O90" s="68">
        <v>0</v>
      </c>
      <c r="P90" s="68">
        <v>0</v>
      </c>
      <c r="Q90" s="79">
        <f>SUM(E90:P90)</f>
        <v>17747.2</v>
      </c>
      <c r="R90" s="80">
        <f t="shared" si="27"/>
        <v>1</v>
      </c>
      <c r="S90" s="81">
        <f t="shared" si="28"/>
        <v>0</v>
      </c>
      <c r="T90" s="82">
        <f t="shared" si="29"/>
        <v>0</v>
      </c>
      <c r="U90" s="79">
        <f t="shared" si="30"/>
        <v>0</v>
      </c>
      <c r="V90" s="80">
        <f t="shared" si="31"/>
        <v>0</v>
      </c>
    </row>
    <row r="91" spans="1:22" s="3" customFormat="1" ht="15">
      <c r="A91" s="34" t="s">
        <v>178</v>
      </c>
      <c r="B91" s="29" t="s">
        <v>64</v>
      </c>
      <c r="C91" s="69">
        <f>300000-251679</f>
        <v>48321</v>
      </c>
      <c r="D91" s="69">
        <v>0</v>
      </c>
      <c r="E91" s="69">
        <v>0</v>
      </c>
      <c r="F91" s="73">
        <v>0</v>
      </c>
      <c r="G91" s="68">
        <v>0</v>
      </c>
      <c r="H91" s="68">
        <v>2360</v>
      </c>
      <c r="I91" s="68">
        <v>0</v>
      </c>
      <c r="J91" s="68">
        <v>0</v>
      </c>
      <c r="K91" s="68">
        <v>0</v>
      </c>
      <c r="L91" s="68">
        <v>45961</v>
      </c>
      <c r="M91" s="68">
        <v>0</v>
      </c>
      <c r="N91" s="68">
        <v>0</v>
      </c>
      <c r="O91" s="68">
        <v>0</v>
      </c>
      <c r="P91" s="68">
        <v>0</v>
      </c>
      <c r="Q91" s="79">
        <f t="shared" si="26"/>
        <v>48321</v>
      </c>
      <c r="R91" s="80">
        <f t="shared" si="27"/>
        <v>1</v>
      </c>
      <c r="S91" s="81">
        <f t="shared" si="28"/>
        <v>0</v>
      </c>
      <c r="T91" s="82">
        <f t="shared" si="29"/>
        <v>0</v>
      </c>
      <c r="U91" s="79">
        <f t="shared" si="30"/>
        <v>0</v>
      </c>
      <c r="V91" s="80">
        <f t="shared" si="31"/>
        <v>0</v>
      </c>
    </row>
    <row r="92" spans="1:22" s="3" customFormat="1" ht="15">
      <c r="A92" s="34" t="s">
        <v>217</v>
      </c>
      <c r="B92" s="29" t="s">
        <v>218</v>
      </c>
      <c r="C92" s="69">
        <f>8000000+7100000+853681.78</f>
        <v>15953681.78</v>
      </c>
      <c r="D92" s="69">
        <v>0</v>
      </c>
      <c r="E92" s="69">
        <v>91324.3</v>
      </c>
      <c r="F92" s="68">
        <v>712313.01</v>
      </c>
      <c r="G92" s="68">
        <v>276651.71</v>
      </c>
      <c r="H92" s="68">
        <v>3810102.07</v>
      </c>
      <c r="I92" s="68">
        <v>333865.75</v>
      </c>
      <c r="J92" s="68">
        <v>1593972.93</v>
      </c>
      <c r="K92" s="68">
        <v>6392722.32</v>
      </c>
      <c r="L92" s="68">
        <v>822038.72</v>
      </c>
      <c r="M92" s="68">
        <v>450978.63</v>
      </c>
      <c r="N92" s="68">
        <v>600551.69</v>
      </c>
      <c r="O92" s="68">
        <v>297184.33</v>
      </c>
      <c r="P92" s="68">
        <v>571976.32</v>
      </c>
      <c r="Q92" s="79">
        <f t="shared" si="26"/>
        <v>15953681.780000001</v>
      </c>
      <c r="R92" s="80">
        <f t="shared" si="27"/>
        <v>1.0000000000000002</v>
      </c>
      <c r="S92" s="81">
        <f t="shared" si="28"/>
        <v>0</v>
      </c>
      <c r="T92" s="82">
        <f t="shared" si="29"/>
        <v>0</v>
      </c>
      <c r="U92" s="79">
        <f t="shared" si="30"/>
        <v>0</v>
      </c>
      <c r="V92" s="80">
        <f t="shared" si="31"/>
        <v>0</v>
      </c>
    </row>
    <row r="93" spans="1:22" s="3" customFormat="1" ht="27.75" customHeight="1">
      <c r="A93" s="47" t="s">
        <v>300</v>
      </c>
      <c r="B93" s="40" t="s">
        <v>299</v>
      </c>
      <c r="C93" s="69">
        <f>400000-59692.79</f>
        <v>340307.21</v>
      </c>
      <c r="D93" s="69">
        <v>0</v>
      </c>
      <c r="E93" s="69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190307.21</v>
      </c>
      <c r="L93" s="68">
        <v>0</v>
      </c>
      <c r="M93" s="68">
        <v>150000</v>
      </c>
      <c r="N93" s="68">
        <v>0</v>
      </c>
      <c r="O93" s="68">
        <v>0</v>
      </c>
      <c r="P93" s="68">
        <v>0</v>
      </c>
      <c r="Q93" s="79">
        <f t="shared" si="26"/>
        <v>340307.20999999996</v>
      </c>
      <c r="R93" s="80">
        <f t="shared" si="27"/>
        <v>0.9999999999999998</v>
      </c>
      <c r="S93" s="81">
        <f t="shared" si="28"/>
        <v>0</v>
      </c>
      <c r="T93" s="82">
        <f t="shared" si="29"/>
        <v>0</v>
      </c>
      <c r="U93" s="79">
        <f t="shared" si="30"/>
        <v>0</v>
      </c>
      <c r="V93" s="80">
        <f t="shared" si="31"/>
        <v>0</v>
      </c>
    </row>
    <row r="94" spans="1:22" s="3" customFormat="1" ht="15">
      <c r="A94" s="34" t="s">
        <v>226</v>
      </c>
      <c r="B94" s="29" t="s">
        <v>333</v>
      </c>
      <c r="C94" s="68">
        <f>31140406+8230983.15</f>
        <v>39371389.15</v>
      </c>
      <c r="D94" s="69">
        <v>0</v>
      </c>
      <c r="E94" s="69">
        <v>3127710.98</v>
      </c>
      <c r="F94" s="69">
        <v>2826053.17</v>
      </c>
      <c r="G94" s="68">
        <v>3178410.86</v>
      </c>
      <c r="H94" s="68">
        <v>3063962.43</v>
      </c>
      <c r="I94" s="68">
        <v>3143066.85</v>
      </c>
      <c r="J94" s="68">
        <v>3021087</v>
      </c>
      <c r="K94" s="68">
        <v>3074735</v>
      </c>
      <c r="L94" s="68">
        <v>3112781.86</v>
      </c>
      <c r="M94" s="68">
        <v>3097560</v>
      </c>
      <c r="N94" s="68">
        <v>3190520</v>
      </c>
      <c r="O94" s="68">
        <v>3062700</v>
      </c>
      <c r="P94" s="68">
        <v>5472801</v>
      </c>
      <c r="Q94" s="79">
        <f t="shared" si="26"/>
        <v>39371389.15</v>
      </c>
      <c r="R94" s="80">
        <f t="shared" si="27"/>
        <v>1</v>
      </c>
      <c r="S94" s="81">
        <f t="shared" si="28"/>
        <v>0</v>
      </c>
      <c r="T94" s="82">
        <f t="shared" si="29"/>
        <v>0</v>
      </c>
      <c r="U94" s="79">
        <f t="shared" si="30"/>
        <v>0</v>
      </c>
      <c r="V94" s="80">
        <f t="shared" si="31"/>
        <v>0</v>
      </c>
    </row>
    <row r="95" spans="1:22" s="3" customFormat="1" ht="17.25" customHeight="1" hidden="1">
      <c r="A95" s="31" t="s">
        <v>65</v>
      </c>
      <c r="B95" s="38" t="s">
        <v>66</v>
      </c>
      <c r="C95" s="69">
        <v>0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87"/>
      <c r="R95" s="87"/>
      <c r="S95" s="85">
        <v>0</v>
      </c>
      <c r="T95" s="85"/>
      <c r="U95" s="87"/>
      <c r="V95" s="87"/>
    </row>
    <row r="96" spans="1:22" s="3" customFormat="1" ht="15">
      <c r="A96" s="24" t="s">
        <v>67</v>
      </c>
      <c r="B96" s="8" t="s">
        <v>68</v>
      </c>
      <c r="C96" s="117">
        <f>SUM(C97:C100)</f>
        <v>3045743.6300000004</v>
      </c>
      <c r="D96" s="117">
        <f>+D97+D98+D99+D100</f>
        <v>0</v>
      </c>
      <c r="E96" s="117">
        <f>+E97+E98+E99+E100</f>
        <v>317278.4</v>
      </c>
      <c r="F96" s="117">
        <f>+F97+F98+F99+F100</f>
        <v>11348</v>
      </c>
      <c r="G96" s="117">
        <f>+G97+G98+G99+G100</f>
        <v>208028.71</v>
      </c>
      <c r="H96" s="117">
        <f>+H97+H98+H99+H100</f>
        <v>1130443.91</v>
      </c>
      <c r="I96" s="117">
        <f>+I97+I100</f>
        <v>0</v>
      </c>
      <c r="J96" s="117">
        <f>+J97+J100</f>
        <v>14971.65</v>
      </c>
      <c r="K96" s="117">
        <f aca="true" t="shared" si="32" ref="K96:P96">+K97+K98+K99+K100</f>
        <v>1055600.6</v>
      </c>
      <c r="L96" s="117">
        <f t="shared" si="32"/>
        <v>19985.760000000002</v>
      </c>
      <c r="M96" s="117">
        <f t="shared" si="32"/>
        <v>194.7</v>
      </c>
      <c r="N96" s="117">
        <f t="shared" si="32"/>
        <v>12661.5</v>
      </c>
      <c r="O96" s="117">
        <f t="shared" si="32"/>
        <v>132804.4</v>
      </c>
      <c r="P96" s="117">
        <f t="shared" si="32"/>
        <v>142426</v>
      </c>
      <c r="Q96" s="121">
        <f>SUM(E96:P96)</f>
        <v>3045743.63</v>
      </c>
      <c r="R96" s="122">
        <f aca="true" t="shared" si="33" ref="R96:R101">+Q96/C96</f>
        <v>0.9999999999999999</v>
      </c>
      <c r="S96" s="121">
        <f aca="true" t="shared" si="34" ref="S96:S101">+C96-Q96</f>
        <v>0</v>
      </c>
      <c r="T96" s="122">
        <f aca="true" t="shared" si="35" ref="T96:T101">+S96/C96</f>
        <v>0</v>
      </c>
      <c r="U96" s="121">
        <f>+U97+U98+U99+U100</f>
        <v>0</v>
      </c>
      <c r="V96" s="122">
        <f>+U96/C96</f>
        <v>0</v>
      </c>
    </row>
    <row r="97" spans="1:22" s="3" customFormat="1" ht="15">
      <c r="A97" s="34" t="s">
        <v>227</v>
      </c>
      <c r="B97" s="28" t="s">
        <v>288</v>
      </c>
      <c r="C97" s="69">
        <f>300000-28289.03</f>
        <v>271710.97</v>
      </c>
      <c r="D97" s="69">
        <v>0</v>
      </c>
      <c r="E97" s="69">
        <v>0</v>
      </c>
      <c r="F97" s="69">
        <v>6722.4</v>
      </c>
      <c r="G97" s="68">
        <v>208028.71</v>
      </c>
      <c r="H97" s="68">
        <v>8855.71</v>
      </c>
      <c r="I97" s="68">
        <v>0</v>
      </c>
      <c r="J97" s="68">
        <v>14971.65</v>
      </c>
      <c r="K97" s="68">
        <v>3453.6</v>
      </c>
      <c r="L97" s="68">
        <v>8349</v>
      </c>
      <c r="M97" s="68">
        <v>0</v>
      </c>
      <c r="N97" s="68">
        <v>12661.5</v>
      </c>
      <c r="O97" s="68">
        <v>3004.4</v>
      </c>
      <c r="P97" s="68">
        <v>5664</v>
      </c>
      <c r="Q97" s="79">
        <f>SUM(E97:P97)</f>
        <v>271710.97</v>
      </c>
      <c r="R97" s="80">
        <f t="shared" si="33"/>
        <v>1</v>
      </c>
      <c r="S97" s="81">
        <f t="shared" si="34"/>
        <v>0</v>
      </c>
      <c r="T97" s="82">
        <f t="shared" si="35"/>
        <v>0</v>
      </c>
      <c r="U97" s="79">
        <f>+C97-Q97</f>
        <v>0</v>
      </c>
      <c r="V97" s="80">
        <f>+U97/C97</f>
        <v>0</v>
      </c>
    </row>
    <row r="98" spans="1:22" s="3" customFormat="1" ht="15">
      <c r="A98" s="34" t="s">
        <v>179</v>
      </c>
      <c r="B98" s="28" t="s">
        <v>69</v>
      </c>
      <c r="C98" s="69">
        <f>1500000+800000-98509.4</f>
        <v>2201490.6</v>
      </c>
      <c r="D98" s="69">
        <v>0</v>
      </c>
      <c r="E98" s="69">
        <v>317278.4</v>
      </c>
      <c r="F98" s="69">
        <v>0</v>
      </c>
      <c r="G98" s="68">
        <v>0</v>
      </c>
      <c r="H98" s="68">
        <v>961865.2</v>
      </c>
      <c r="I98" s="68">
        <v>0</v>
      </c>
      <c r="J98" s="68">
        <v>0</v>
      </c>
      <c r="K98" s="68">
        <v>922347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79">
        <f>SUM(E98:P98)</f>
        <v>2201490.6</v>
      </c>
      <c r="R98" s="80">
        <f t="shared" si="33"/>
        <v>1</v>
      </c>
      <c r="S98" s="81">
        <f t="shared" si="34"/>
        <v>0</v>
      </c>
      <c r="T98" s="82">
        <f t="shared" si="35"/>
        <v>0</v>
      </c>
      <c r="U98" s="79">
        <f>+C98-Q98</f>
        <v>0</v>
      </c>
      <c r="V98" s="80">
        <f>+U98/C98</f>
        <v>0</v>
      </c>
    </row>
    <row r="99" spans="1:22" s="3" customFormat="1" ht="15">
      <c r="A99" s="34" t="s">
        <v>180</v>
      </c>
      <c r="B99" s="28" t="s">
        <v>70</v>
      </c>
      <c r="C99" s="69">
        <f>900000-10000-400000-70677</f>
        <v>419323</v>
      </c>
      <c r="D99" s="69">
        <v>0</v>
      </c>
      <c r="E99" s="69">
        <v>0</v>
      </c>
      <c r="F99" s="68">
        <v>0</v>
      </c>
      <c r="G99" s="68">
        <v>0</v>
      </c>
      <c r="H99" s="68">
        <v>159723</v>
      </c>
      <c r="I99" s="68">
        <v>0</v>
      </c>
      <c r="J99" s="68">
        <v>0</v>
      </c>
      <c r="K99" s="68">
        <v>129800</v>
      </c>
      <c r="L99" s="68">
        <v>0</v>
      </c>
      <c r="M99" s="68">
        <v>0</v>
      </c>
      <c r="N99" s="68">
        <v>0</v>
      </c>
      <c r="O99" s="68">
        <v>129800</v>
      </c>
      <c r="P99" s="68">
        <v>0</v>
      </c>
      <c r="Q99" s="79">
        <f>SUM(E99:P99)</f>
        <v>419323</v>
      </c>
      <c r="R99" s="80">
        <f t="shared" si="33"/>
        <v>1</v>
      </c>
      <c r="S99" s="81">
        <f t="shared" si="34"/>
        <v>0</v>
      </c>
      <c r="T99" s="82">
        <f t="shared" si="35"/>
        <v>0</v>
      </c>
      <c r="U99" s="79">
        <f>+C99-Q99</f>
        <v>0</v>
      </c>
      <c r="V99" s="80">
        <f>+U99/C99</f>
        <v>0</v>
      </c>
    </row>
    <row r="100" spans="1:22" s="3" customFormat="1" ht="15">
      <c r="A100" s="34" t="s">
        <v>181</v>
      </c>
      <c r="B100" s="28" t="s">
        <v>403</v>
      </c>
      <c r="C100" s="69">
        <f>10000+20000+123219.06</f>
        <v>153219.06</v>
      </c>
      <c r="D100" s="69">
        <v>0</v>
      </c>
      <c r="E100" s="69">
        <v>0</v>
      </c>
      <c r="F100" s="69">
        <v>4625.6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11636.76</v>
      </c>
      <c r="M100" s="68">
        <v>194.7</v>
      </c>
      <c r="N100" s="68">
        <v>0</v>
      </c>
      <c r="O100" s="68">
        <v>0</v>
      </c>
      <c r="P100" s="68">
        <v>136762</v>
      </c>
      <c r="Q100" s="79">
        <f>SUM(E100:P100)</f>
        <v>153219.06</v>
      </c>
      <c r="R100" s="80">
        <f t="shared" si="33"/>
        <v>1</v>
      </c>
      <c r="S100" s="81">
        <f t="shared" si="34"/>
        <v>0</v>
      </c>
      <c r="T100" s="82">
        <f t="shared" si="35"/>
        <v>0</v>
      </c>
      <c r="U100" s="79">
        <f>+C100-Q100</f>
        <v>0</v>
      </c>
      <c r="V100" s="80">
        <f>+U100/C100</f>
        <v>0</v>
      </c>
    </row>
    <row r="101" spans="1:22" s="3" customFormat="1" ht="17.25" customHeight="1" hidden="1">
      <c r="A101" s="36" t="s">
        <v>181</v>
      </c>
      <c r="B101" s="29" t="s">
        <v>71</v>
      </c>
      <c r="C101" s="69">
        <v>100000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87">
        <f>SUM(D101:E101)</f>
        <v>0</v>
      </c>
      <c r="R101" s="80">
        <f t="shared" si="33"/>
        <v>0</v>
      </c>
      <c r="S101" s="81">
        <f t="shared" si="34"/>
        <v>100000</v>
      </c>
      <c r="T101" s="82">
        <f t="shared" si="35"/>
        <v>1</v>
      </c>
      <c r="U101" s="87">
        <f>SUM(D101:T101)</f>
        <v>100001</v>
      </c>
      <c r="V101" s="80" t="e">
        <f>+U101/#REF!</f>
        <v>#REF!</v>
      </c>
    </row>
    <row r="102" spans="1:29" s="12" customFormat="1" ht="17.25" customHeight="1" hidden="1">
      <c r="A102" s="24" t="s">
        <v>72</v>
      </c>
      <c r="B102" s="8" t="s">
        <v>73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7"/>
      <c r="R102" s="87"/>
      <c r="S102" s="89"/>
      <c r="T102" s="89"/>
      <c r="U102" s="87"/>
      <c r="V102" s="87"/>
      <c r="W102" s="1"/>
      <c r="X102" s="1"/>
      <c r="Y102" s="1"/>
      <c r="Z102" s="1"/>
      <c r="AA102" s="1"/>
      <c r="AB102" s="1"/>
      <c r="AC102" s="10"/>
    </row>
    <row r="103" spans="1:28" s="10" customFormat="1" ht="17.25" customHeight="1" hidden="1">
      <c r="A103" s="25" t="s">
        <v>74</v>
      </c>
      <c r="B103" s="9" t="s">
        <v>75</v>
      </c>
      <c r="C103" s="83"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87"/>
      <c r="R103" s="87"/>
      <c r="S103" s="90">
        <v>0</v>
      </c>
      <c r="T103" s="90"/>
      <c r="U103" s="87"/>
      <c r="V103" s="87"/>
      <c r="W103" s="1"/>
      <c r="X103" s="1"/>
      <c r="Y103" s="1"/>
      <c r="Z103" s="1"/>
      <c r="AA103" s="1"/>
      <c r="AB103" s="1"/>
    </row>
    <row r="104" spans="1:29" s="3" customFormat="1" ht="17.25" customHeight="1" hidden="1">
      <c r="A104" s="25" t="s">
        <v>76</v>
      </c>
      <c r="B104" s="9" t="s">
        <v>77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87"/>
      <c r="R104" s="87"/>
      <c r="S104" s="85"/>
      <c r="T104" s="85"/>
      <c r="U104" s="87"/>
      <c r="V104" s="87"/>
      <c r="W104" s="1"/>
      <c r="X104" s="1"/>
      <c r="Y104" s="1"/>
      <c r="Z104" s="1"/>
      <c r="AA104" s="1"/>
      <c r="AB104" s="1"/>
      <c r="AC104" s="10"/>
    </row>
    <row r="105" spans="1:28" s="10" customFormat="1" ht="17.25" customHeight="1" hidden="1">
      <c r="A105" s="25" t="s">
        <v>78</v>
      </c>
      <c r="B105" s="9" t="s">
        <v>79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87"/>
      <c r="R105" s="87"/>
      <c r="S105" s="85"/>
      <c r="T105" s="85"/>
      <c r="U105" s="87"/>
      <c r="V105" s="87"/>
      <c r="W105" s="1"/>
      <c r="X105" s="1"/>
      <c r="Y105" s="1"/>
      <c r="Z105" s="1"/>
      <c r="AA105" s="1"/>
      <c r="AB105" s="1"/>
    </row>
    <row r="106" spans="1:28" s="10" customFormat="1" ht="69" customHeight="1" hidden="1">
      <c r="A106" s="25" t="s">
        <v>80</v>
      </c>
      <c r="B106" s="9" t="s">
        <v>81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87"/>
      <c r="R106" s="87"/>
      <c r="S106" s="85"/>
      <c r="T106" s="85"/>
      <c r="U106" s="87"/>
      <c r="V106" s="87"/>
      <c r="W106" s="1"/>
      <c r="X106" s="1"/>
      <c r="Y106" s="1"/>
      <c r="Z106" s="1"/>
      <c r="AA106" s="1"/>
      <c r="AB106" s="1"/>
    </row>
    <row r="107" spans="1:22" s="13" customFormat="1" ht="15">
      <c r="A107" s="24" t="s">
        <v>72</v>
      </c>
      <c r="B107" s="8" t="s">
        <v>73</v>
      </c>
      <c r="C107" s="117">
        <f>SUM(C108:C111)</f>
        <v>4774569.1</v>
      </c>
      <c r="D107" s="117">
        <f aca="true" t="shared" si="36" ref="D107:N107">+D108+D109+D110+D111</f>
        <v>17595978</v>
      </c>
      <c r="E107" s="117">
        <f t="shared" si="36"/>
        <v>10221.12</v>
      </c>
      <c r="F107" s="117">
        <f t="shared" si="36"/>
        <v>54924.240000000005</v>
      </c>
      <c r="G107" s="117">
        <f t="shared" si="36"/>
        <v>535214</v>
      </c>
      <c r="H107" s="117">
        <f t="shared" si="36"/>
        <v>500774.03</v>
      </c>
      <c r="I107" s="117">
        <f t="shared" si="36"/>
        <v>25308.95</v>
      </c>
      <c r="J107" s="117">
        <f t="shared" si="36"/>
        <v>249570</v>
      </c>
      <c r="K107" s="117">
        <f t="shared" si="36"/>
        <v>116230</v>
      </c>
      <c r="L107" s="117">
        <f t="shared" si="36"/>
        <v>625462.36</v>
      </c>
      <c r="M107" s="117">
        <f t="shared" si="36"/>
        <v>0</v>
      </c>
      <c r="N107" s="117">
        <f t="shared" si="36"/>
        <v>961110</v>
      </c>
      <c r="O107" s="117">
        <f>+O108+O109+O110+O111</f>
        <v>0</v>
      </c>
      <c r="P107" s="117">
        <f>+P108+P109+P110+P111</f>
        <v>1695754.4</v>
      </c>
      <c r="Q107" s="121">
        <f aca="true" t="shared" si="37" ref="Q107:Q112">SUM(E107:P107)</f>
        <v>4774569.1</v>
      </c>
      <c r="R107" s="122">
        <f>+Q107/(C107+D107)</f>
        <v>0.2134310385283335</v>
      </c>
      <c r="S107" s="121">
        <f aca="true" t="shared" si="38" ref="S107:S143">+C107-Q107</f>
        <v>0</v>
      </c>
      <c r="T107" s="122">
        <f aca="true" t="shared" si="39" ref="T107:T143">+S107/C107</f>
        <v>0</v>
      </c>
      <c r="U107" s="121">
        <f>+U108+U109+U110+U111</f>
        <v>17595978</v>
      </c>
      <c r="V107" s="122">
        <f>+U107/(C107+D107)</f>
        <v>0.7865689614716664</v>
      </c>
    </row>
    <row r="108" spans="1:22" s="3" customFormat="1" ht="15">
      <c r="A108" s="36" t="s">
        <v>246</v>
      </c>
      <c r="B108" s="29" t="s">
        <v>378</v>
      </c>
      <c r="C108" s="69">
        <f>5000-1098.41</f>
        <v>3901.59</v>
      </c>
      <c r="D108" s="69">
        <v>0</v>
      </c>
      <c r="E108" s="69">
        <v>0</v>
      </c>
      <c r="F108" s="68">
        <v>1357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2544.59</v>
      </c>
      <c r="M108" s="68">
        <v>0</v>
      </c>
      <c r="N108" s="68">
        <v>0</v>
      </c>
      <c r="O108" s="68">
        <v>0</v>
      </c>
      <c r="P108" s="68">
        <v>0</v>
      </c>
      <c r="Q108" s="79">
        <f t="shared" si="37"/>
        <v>3901.59</v>
      </c>
      <c r="R108" s="80">
        <f>+Q108/C108</f>
        <v>1</v>
      </c>
      <c r="S108" s="81">
        <f t="shared" si="38"/>
        <v>0</v>
      </c>
      <c r="T108" s="82">
        <f t="shared" si="39"/>
        <v>0</v>
      </c>
      <c r="U108" s="79">
        <f>+C108-Q108</f>
        <v>0</v>
      </c>
      <c r="V108" s="80">
        <f aca="true" t="shared" si="40" ref="V108:V125">+U108/C108</f>
        <v>0</v>
      </c>
    </row>
    <row r="109" spans="1:22" s="3" customFormat="1" ht="15">
      <c r="A109" s="36" t="s">
        <v>247</v>
      </c>
      <c r="B109" s="29" t="s">
        <v>77</v>
      </c>
      <c r="C109" s="69">
        <f>100000+150000+1000000+372714.07</f>
        <v>1622714.07</v>
      </c>
      <c r="D109" s="69">
        <v>0</v>
      </c>
      <c r="E109" s="68">
        <v>0</v>
      </c>
      <c r="F109" s="68">
        <v>48480.3</v>
      </c>
      <c r="G109" s="68">
        <v>0</v>
      </c>
      <c r="H109" s="68">
        <v>0</v>
      </c>
      <c r="I109" s="68">
        <v>0</v>
      </c>
      <c r="J109" s="68">
        <v>0</v>
      </c>
      <c r="K109" s="68">
        <v>116230</v>
      </c>
      <c r="L109" s="68">
        <v>41177.77</v>
      </c>
      <c r="M109" s="68">
        <v>0</v>
      </c>
      <c r="N109" s="68">
        <v>961110</v>
      </c>
      <c r="O109" s="68">
        <v>0</v>
      </c>
      <c r="P109" s="68">
        <v>455716</v>
      </c>
      <c r="Q109" s="79">
        <f t="shared" si="37"/>
        <v>1622714.07</v>
      </c>
      <c r="R109" s="80">
        <f>+Q109/C109</f>
        <v>1</v>
      </c>
      <c r="S109" s="81">
        <f t="shared" si="38"/>
        <v>0</v>
      </c>
      <c r="T109" s="82">
        <f t="shared" si="39"/>
        <v>0</v>
      </c>
      <c r="U109" s="79">
        <f>+C109-Q109</f>
        <v>0</v>
      </c>
      <c r="V109" s="80">
        <f t="shared" si="40"/>
        <v>0</v>
      </c>
    </row>
    <row r="110" spans="1:22" s="3" customFormat="1" ht="15">
      <c r="A110" s="36" t="s">
        <v>248</v>
      </c>
      <c r="B110" s="29" t="s">
        <v>334</v>
      </c>
      <c r="C110" s="69">
        <f>700000+300000+630742.32</f>
        <v>1630742.3199999998</v>
      </c>
      <c r="D110" s="69">
        <v>12471589.5</v>
      </c>
      <c r="E110" s="68">
        <v>0</v>
      </c>
      <c r="F110" s="68">
        <v>5086.94</v>
      </c>
      <c r="G110" s="68">
        <v>151124</v>
      </c>
      <c r="H110" s="68">
        <v>150774.03</v>
      </c>
      <c r="I110" s="68">
        <v>25308.95</v>
      </c>
      <c r="J110" s="68">
        <v>249570</v>
      </c>
      <c r="K110" s="68">
        <v>0</v>
      </c>
      <c r="L110" s="68">
        <v>398840</v>
      </c>
      <c r="M110" s="68">
        <v>0</v>
      </c>
      <c r="N110" s="68">
        <v>0</v>
      </c>
      <c r="O110" s="68">
        <v>0</v>
      </c>
      <c r="P110" s="68">
        <v>650038.4</v>
      </c>
      <c r="Q110" s="79">
        <f t="shared" si="37"/>
        <v>1630742.3199999998</v>
      </c>
      <c r="R110" s="80">
        <f>+Q110/(D110+C110)</f>
        <v>0.11563636005836089</v>
      </c>
      <c r="S110" s="81">
        <f t="shared" si="38"/>
        <v>0</v>
      </c>
      <c r="T110" s="82">
        <f t="shared" si="39"/>
        <v>0</v>
      </c>
      <c r="U110" s="79">
        <f>+C110+D110-Q110</f>
        <v>12471589.5</v>
      </c>
      <c r="V110" s="80">
        <f t="shared" si="40"/>
        <v>7.647799009717244</v>
      </c>
    </row>
    <row r="111" spans="1:22" s="3" customFormat="1" ht="15">
      <c r="A111" s="36" t="s">
        <v>249</v>
      </c>
      <c r="B111" s="29" t="s">
        <v>81</v>
      </c>
      <c r="C111" s="69">
        <f>1000000+517211.12</f>
        <v>1517211.12</v>
      </c>
      <c r="D111" s="69">
        <v>5124388.5</v>
      </c>
      <c r="E111" s="69">
        <v>10221.12</v>
      </c>
      <c r="F111" s="69">
        <v>0</v>
      </c>
      <c r="G111" s="68">
        <v>384090</v>
      </c>
      <c r="H111" s="68">
        <v>350000</v>
      </c>
      <c r="I111" s="68">
        <v>0</v>
      </c>
      <c r="J111" s="68">
        <v>0</v>
      </c>
      <c r="K111" s="68">
        <v>0</v>
      </c>
      <c r="L111" s="68">
        <v>182900</v>
      </c>
      <c r="M111" s="68">
        <v>0</v>
      </c>
      <c r="N111" s="68">
        <v>0</v>
      </c>
      <c r="O111" s="68">
        <v>0</v>
      </c>
      <c r="P111" s="68">
        <v>590000</v>
      </c>
      <c r="Q111" s="79">
        <f t="shared" si="37"/>
        <v>1517211.12</v>
      </c>
      <c r="R111" s="80">
        <f>+Q111/(D111+C111)</f>
        <v>0.22844061774383204</v>
      </c>
      <c r="S111" s="81">
        <f t="shared" si="38"/>
        <v>0</v>
      </c>
      <c r="T111" s="82">
        <f t="shared" si="39"/>
        <v>0</v>
      </c>
      <c r="U111" s="79">
        <f>+C111+D111-Q111</f>
        <v>5124388.5</v>
      </c>
      <c r="V111" s="80">
        <f t="shared" si="40"/>
        <v>3.3775052347362178</v>
      </c>
    </row>
    <row r="112" spans="1:29" s="12" customFormat="1" ht="15">
      <c r="A112" s="24" t="s">
        <v>82</v>
      </c>
      <c r="B112" s="8" t="s">
        <v>83</v>
      </c>
      <c r="C112" s="117">
        <f>SUM(C113:C116)</f>
        <v>1517319.4</v>
      </c>
      <c r="D112" s="117">
        <f aca="true" t="shared" si="41" ref="D112:I112">+D113+D114+D115+D116</f>
        <v>0</v>
      </c>
      <c r="E112" s="117">
        <f t="shared" si="41"/>
        <v>0</v>
      </c>
      <c r="F112" s="117">
        <f t="shared" si="41"/>
        <v>175294.95</v>
      </c>
      <c r="G112" s="117">
        <f t="shared" si="41"/>
        <v>282557.9</v>
      </c>
      <c r="H112" s="117">
        <f t="shared" si="41"/>
        <v>119770</v>
      </c>
      <c r="I112" s="117">
        <f t="shared" si="41"/>
        <v>34988.79</v>
      </c>
      <c r="J112" s="117">
        <f aca="true" t="shared" si="42" ref="J112:O112">+J113+J114+J115+J116</f>
        <v>551515.7</v>
      </c>
      <c r="K112" s="117">
        <f t="shared" si="42"/>
        <v>21089.95</v>
      </c>
      <c r="L112" s="117">
        <f t="shared" si="42"/>
        <v>11718.93</v>
      </c>
      <c r="M112" s="117">
        <f t="shared" si="42"/>
        <v>61874.48</v>
      </c>
      <c r="N112" s="117">
        <f t="shared" si="42"/>
        <v>118144.95</v>
      </c>
      <c r="O112" s="117">
        <f t="shared" si="42"/>
        <v>49.95</v>
      </c>
      <c r="P112" s="117">
        <f>+P113+P114+P115+P116</f>
        <v>140313.8</v>
      </c>
      <c r="Q112" s="121">
        <f t="shared" si="37"/>
        <v>1517319.4</v>
      </c>
      <c r="R112" s="122">
        <f aca="true" t="shared" si="43" ref="R112:R125">+Q112/C112</f>
        <v>1</v>
      </c>
      <c r="S112" s="121">
        <f t="shared" si="38"/>
        <v>0</v>
      </c>
      <c r="T112" s="122">
        <f t="shared" si="39"/>
        <v>0</v>
      </c>
      <c r="U112" s="121">
        <f>+U113+U114+U115+U116</f>
        <v>0</v>
      </c>
      <c r="V112" s="122">
        <f t="shared" si="40"/>
        <v>0</v>
      </c>
      <c r="W112" s="1"/>
      <c r="X112" s="1"/>
      <c r="Y112" s="1"/>
      <c r="Z112" s="1"/>
      <c r="AA112" s="1"/>
      <c r="AB112" s="1"/>
      <c r="AC112" s="10"/>
    </row>
    <row r="113" spans="1:29" s="3" customFormat="1" ht="15">
      <c r="A113" s="34" t="s">
        <v>182</v>
      </c>
      <c r="B113" s="28" t="s">
        <v>84</v>
      </c>
      <c r="C113" s="69">
        <f>700000-142014.8</f>
        <v>557985.2</v>
      </c>
      <c r="D113" s="69">
        <v>0</v>
      </c>
      <c r="E113" s="69">
        <v>0</v>
      </c>
      <c r="F113" s="69">
        <v>130400</v>
      </c>
      <c r="G113" s="68">
        <v>144355.7</v>
      </c>
      <c r="H113" s="68">
        <v>0</v>
      </c>
      <c r="I113" s="68">
        <v>0</v>
      </c>
      <c r="J113" s="68">
        <v>283229.5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79">
        <f aca="true" t="shared" si="44" ref="Q113:Q119">SUM(E113:P113)</f>
        <v>557985.2</v>
      </c>
      <c r="R113" s="80">
        <f t="shared" si="43"/>
        <v>1</v>
      </c>
      <c r="S113" s="81">
        <f t="shared" si="38"/>
        <v>0</v>
      </c>
      <c r="T113" s="82">
        <f t="shared" si="39"/>
        <v>0</v>
      </c>
      <c r="U113" s="79">
        <f>+C113-Q113</f>
        <v>0</v>
      </c>
      <c r="V113" s="80">
        <f t="shared" si="40"/>
        <v>0</v>
      </c>
      <c r="W113" s="2"/>
      <c r="X113" s="2"/>
      <c r="Y113" s="2"/>
      <c r="Z113" s="2"/>
      <c r="AA113" s="2"/>
      <c r="AB113" s="2"/>
      <c r="AC113" s="4"/>
    </row>
    <row r="114" spans="1:29" s="3" customFormat="1" ht="15">
      <c r="A114" s="34" t="s">
        <v>183</v>
      </c>
      <c r="B114" s="28" t="s">
        <v>85</v>
      </c>
      <c r="C114" s="53">
        <f>500000-65895.03</f>
        <v>434104.97</v>
      </c>
      <c r="D114" s="69">
        <v>0</v>
      </c>
      <c r="E114" s="68">
        <v>0</v>
      </c>
      <c r="F114" s="68">
        <v>44894.95</v>
      </c>
      <c r="G114" s="68">
        <v>58585.7</v>
      </c>
      <c r="H114" s="68">
        <v>96170</v>
      </c>
      <c r="I114" s="68">
        <v>34988.79</v>
      </c>
      <c r="J114" s="68">
        <v>137306.2</v>
      </c>
      <c r="K114" s="68">
        <v>89.95</v>
      </c>
      <c r="L114" s="68">
        <v>0</v>
      </c>
      <c r="M114" s="68">
        <v>61874.48</v>
      </c>
      <c r="N114" s="68">
        <v>144.95</v>
      </c>
      <c r="O114" s="68">
        <v>49.95</v>
      </c>
      <c r="P114" s="68">
        <v>0</v>
      </c>
      <c r="Q114" s="79">
        <f t="shared" si="44"/>
        <v>434104.97000000003</v>
      </c>
      <c r="R114" s="80">
        <f t="shared" si="43"/>
        <v>1.0000000000000002</v>
      </c>
      <c r="S114" s="81">
        <f t="shared" si="38"/>
        <v>0</v>
      </c>
      <c r="T114" s="82">
        <f t="shared" si="39"/>
        <v>0</v>
      </c>
      <c r="U114" s="79">
        <f>+C114-Q114</f>
        <v>0</v>
      </c>
      <c r="V114" s="80">
        <f t="shared" si="40"/>
        <v>0</v>
      </c>
      <c r="W114" s="2"/>
      <c r="X114" s="2"/>
      <c r="Y114" s="2"/>
      <c r="Z114" s="2"/>
      <c r="AA114" s="2"/>
      <c r="AB114" s="2"/>
      <c r="AC114" s="4"/>
    </row>
    <row r="115" spans="1:29" s="3" customFormat="1" ht="15">
      <c r="A115" s="34" t="s">
        <v>184</v>
      </c>
      <c r="B115" s="28" t="s">
        <v>289</v>
      </c>
      <c r="C115" s="53">
        <f>250000+100000+57225.43</f>
        <v>407225.43</v>
      </c>
      <c r="D115" s="69">
        <v>0</v>
      </c>
      <c r="E115" s="69">
        <v>0</v>
      </c>
      <c r="F115" s="68">
        <v>0</v>
      </c>
      <c r="G115" s="68">
        <v>58616.5</v>
      </c>
      <c r="H115" s="68">
        <v>23600</v>
      </c>
      <c r="I115" s="68">
        <v>0</v>
      </c>
      <c r="J115" s="68">
        <v>130980</v>
      </c>
      <c r="K115" s="68">
        <v>0</v>
      </c>
      <c r="L115" s="68">
        <v>11718.93</v>
      </c>
      <c r="M115" s="68">
        <v>0</v>
      </c>
      <c r="N115" s="68">
        <v>118000</v>
      </c>
      <c r="O115" s="68">
        <v>0</v>
      </c>
      <c r="P115" s="68">
        <v>64310</v>
      </c>
      <c r="Q115" s="79">
        <f t="shared" si="44"/>
        <v>407225.43</v>
      </c>
      <c r="R115" s="80">
        <f t="shared" si="43"/>
        <v>1</v>
      </c>
      <c r="S115" s="81">
        <f t="shared" si="38"/>
        <v>0</v>
      </c>
      <c r="T115" s="82">
        <f t="shared" si="39"/>
        <v>0</v>
      </c>
      <c r="U115" s="79">
        <f>+C115-Q115</f>
        <v>0</v>
      </c>
      <c r="V115" s="80">
        <f t="shared" si="40"/>
        <v>0</v>
      </c>
      <c r="W115" s="2"/>
      <c r="X115" s="2"/>
      <c r="Y115" s="2"/>
      <c r="Z115" s="2"/>
      <c r="AA115" s="2"/>
      <c r="AB115" s="2"/>
      <c r="AC115" s="4"/>
    </row>
    <row r="116" spans="1:29" s="3" customFormat="1" ht="15">
      <c r="A116" s="34" t="s">
        <v>185</v>
      </c>
      <c r="B116" s="28" t="s">
        <v>86</v>
      </c>
      <c r="C116" s="53">
        <f>350000-231996.2</f>
        <v>118003.79999999999</v>
      </c>
      <c r="D116" s="69">
        <v>0</v>
      </c>
      <c r="E116" s="69">
        <v>0</v>
      </c>
      <c r="F116" s="69">
        <v>0</v>
      </c>
      <c r="G116" s="68">
        <v>21000</v>
      </c>
      <c r="H116" s="68">
        <v>0</v>
      </c>
      <c r="I116" s="68">
        <v>0</v>
      </c>
      <c r="J116" s="68">
        <v>0</v>
      </c>
      <c r="K116" s="68">
        <v>21000</v>
      </c>
      <c r="L116" s="68">
        <v>0</v>
      </c>
      <c r="M116" s="68">
        <v>0</v>
      </c>
      <c r="N116" s="68">
        <v>0</v>
      </c>
      <c r="O116" s="68">
        <v>0</v>
      </c>
      <c r="P116" s="68">
        <v>76003.8</v>
      </c>
      <c r="Q116" s="79">
        <f t="shared" si="44"/>
        <v>118003.8</v>
      </c>
      <c r="R116" s="80">
        <f t="shared" si="43"/>
        <v>1.0000000000000002</v>
      </c>
      <c r="S116" s="81">
        <f t="shared" si="38"/>
        <v>0</v>
      </c>
      <c r="T116" s="82">
        <f t="shared" si="39"/>
        <v>0</v>
      </c>
      <c r="U116" s="79">
        <f>+C116-Q116</f>
        <v>0</v>
      </c>
      <c r="V116" s="80">
        <f t="shared" si="40"/>
        <v>0</v>
      </c>
      <c r="W116" s="2"/>
      <c r="X116" s="2"/>
      <c r="Y116" s="2"/>
      <c r="Z116" s="2"/>
      <c r="AA116" s="2"/>
      <c r="AB116" s="2"/>
      <c r="AC116" s="4"/>
    </row>
    <row r="117" spans="1:29" s="3" customFormat="1" ht="15">
      <c r="A117" s="24" t="s">
        <v>87</v>
      </c>
      <c r="B117" s="8" t="s">
        <v>88</v>
      </c>
      <c r="C117" s="117">
        <f>SUM(C118:C119)</f>
        <v>4504606.93</v>
      </c>
      <c r="D117" s="117">
        <f aca="true" t="shared" si="45" ref="D117:N117">+D118+D119</f>
        <v>0</v>
      </c>
      <c r="E117" s="117">
        <f t="shared" si="45"/>
        <v>3773.94</v>
      </c>
      <c r="F117" s="117">
        <f t="shared" si="45"/>
        <v>1336332.44</v>
      </c>
      <c r="G117" s="117">
        <f t="shared" si="45"/>
        <v>572</v>
      </c>
      <c r="H117" s="117">
        <f t="shared" si="45"/>
        <v>0</v>
      </c>
      <c r="I117" s="117">
        <f t="shared" si="45"/>
        <v>0</v>
      </c>
      <c r="J117" s="117">
        <f t="shared" si="45"/>
        <v>0</v>
      </c>
      <c r="K117" s="117">
        <f t="shared" si="45"/>
        <v>3163115.53</v>
      </c>
      <c r="L117" s="117">
        <f t="shared" si="45"/>
        <v>0</v>
      </c>
      <c r="M117" s="117">
        <f t="shared" si="45"/>
        <v>0</v>
      </c>
      <c r="N117" s="117">
        <f t="shared" si="45"/>
        <v>0</v>
      </c>
      <c r="O117" s="117">
        <f>+O118+O119</f>
        <v>813.02</v>
      </c>
      <c r="P117" s="117">
        <f>+P118+P119</f>
        <v>0</v>
      </c>
      <c r="Q117" s="121">
        <f aca="true" t="shared" si="46" ref="Q117:Q126">SUM(E117:P117)</f>
        <v>4504606.93</v>
      </c>
      <c r="R117" s="122">
        <f t="shared" si="43"/>
        <v>1</v>
      </c>
      <c r="S117" s="121">
        <f t="shared" si="38"/>
        <v>0</v>
      </c>
      <c r="T117" s="122">
        <f t="shared" si="39"/>
        <v>0</v>
      </c>
      <c r="U117" s="121">
        <f>+U118+U119</f>
        <v>0</v>
      </c>
      <c r="V117" s="122">
        <f t="shared" si="40"/>
        <v>0</v>
      </c>
      <c r="W117" s="2"/>
      <c r="X117" s="2"/>
      <c r="Y117" s="2"/>
      <c r="Z117" s="2"/>
      <c r="AA117" s="2"/>
      <c r="AB117" s="2"/>
      <c r="AC117" s="4"/>
    </row>
    <row r="118" spans="1:28" s="14" customFormat="1" ht="33.75" customHeight="1">
      <c r="A118" s="108" t="s">
        <v>89</v>
      </c>
      <c r="B118" s="107" t="s">
        <v>269</v>
      </c>
      <c r="C118" s="69">
        <f>1500000+3200000-195393.07</f>
        <v>4504606.93</v>
      </c>
      <c r="D118" s="69">
        <v>0</v>
      </c>
      <c r="E118" s="69">
        <v>3773.94</v>
      </c>
      <c r="F118" s="69">
        <v>1336332.44</v>
      </c>
      <c r="G118" s="68">
        <v>572</v>
      </c>
      <c r="H118" s="68">
        <v>0</v>
      </c>
      <c r="I118" s="68">
        <v>0</v>
      </c>
      <c r="J118" s="68">
        <v>0</v>
      </c>
      <c r="K118" s="68">
        <v>3163115.53</v>
      </c>
      <c r="L118" s="68">
        <v>0</v>
      </c>
      <c r="M118" s="68">
        <v>0</v>
      </c>
      <c r="N118" s="68">
        <v>0</v>
      </c>
      <c r="O118" s="68">
        <v>813.02</v>
      </c>
      <c r="P118" s="68">
        <v>0</v>
      </c>
      <c r="Q118" s="79">
        <f t="shared" si="44"/>
        <v>4504606.93</v>
      </c>
      <c r="R118" s="80">
        <f t="shared" si="43"/>
        <v>1</v>
      </c>
      <c r="S118" s="81">
        <f t="shared" si="38"/>
        <v>0</v>
      </c>
      <c r="T118" s="82">
        <f t="shared" si="39"/>
        <v>0</v>
      </c>
      <c r="U118" s="79">
        <f>+C118-Q118</f>
        <v>0</v>
      </c>
      <c r="V118" s="80">
        <f t="shared" si="40"/>
        <v>0</v>
      </c>
      <c r="W118" s="13"/>
      <c r="X118" s="13"/>
      <c r="Y118" s="13"/>
      <c r="Z118" s="13"/>
      <c r="AA118" s="13"/>
      <c r="AB118" s="13"/>
    </row>
    <row r="119" spans="1:28" s="14" customFormat="1" ht="30.75" customHeight="1">
      <c r="A119" s="35" t="s">
        <v>90</v>
      </c>
      <c r="B119" s="30" t="s">
        <v>354</v>
      </c>
      <c r="C119" s="69">
        <v>0</v>
      </c>
      <c r="D119" s="69">
        <v>0</v>
      </c>
      <c r="E119" s="69">
        <v>0</v>
      </c>
      <c r="F119" s="69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79">
        <f t="shared" si="44"/>
        <v>0</v>
      </c>
      <c r="R119" s="80" t="e">
        <f t="shared" si="43"/>
        <v>#DIV/0!</v>
      </c>
      <c r="S119" s="81">
        <f t="shared" si="38"/>
        <v>0</v>
      </c>
      <c r="T119" s="82" t="e">
        <f t="shared" si="39"/>
        <v>#DIV/0!</v>
      </c>
      <c r="U119" s="79">
        <f>+C119-Q119</f>
        <v>0</v>
      </c>
      <c r="V119" s="80" t="e">
        <f t="shared" si="40"/>
        <v>#DIV/0!</v>
      </c>
      <c r="W119" s="13"/>
      <c r="X119" s="13"/>
      <c r="Y119" s="13"/>
      <c r="Z119" s="13"/>
      <c r="AA119" s="13"/>
      <c r="AB119" s="13"/>
    </row>
    <row r="120" spans="1:22" s="13" customFormat="1" ht="30.75" customHeight="1">
      <c r="A120" s="56" t="s">
        <v>91</v>
      </c>
      <c r="B120" s="123" t="s">
        <v>92</v>
      </c>
      <c r="C120" s="117">
        <f>+C121+C122+C123+C124+C125</f>
        <v>3198984.5199999996</v>
      </c>
      <c r="D120" s="117">
        <f aca="true" t="shared" si="47" ref="D120:I120">+D121+D122+D123+D124+D125</f>
        <v>0</v>
      </c>
      <c r="E120" s="117">
        <f t="shared" si="47"/>
        <v>5598.08</v>
      </c>
      <c r="F120" s="117">
        <f t="shared" si="47"/>
        <v>45492.79</v>
      </c>
      <c r="G120" s="117">
        <f t="shared" si="47"/>
        <v>595382</v>
      </c>
      <c r="H120" s="117">
        <f t="shared" si="47"/>
        <v>4923.9</v>
      </c>
      <c r="I120" s="117">
        <f t="shared" si="47"/>
        <v>8127.1900000000005</v>
      </c>
      <c r="J120" s="117">
        <f aca="true" t="shared" si="48" ref="J120:O120">+J121+J122+J123+J124+J125</f>
        <v>7572.41</v>
      </c>
      <c r="K120" s="117">
        <f t="shared" si="48"/>
        <v>902909.38</v>
      </c>
      <c r="L120" s="117">
        <f t="shared" si="48"/>
        <v>589435.86</v>
      </c>
      <c r="M120" s="117">
        <f t="shared" si="48"/>
        <v>106170.5</v>
      </c>
      <c r="N120" s="117">
        <f t="shared" si="48"/>
        <v>7867.55</v>
      </c>
      <c r="O120" s="117">
        <f t="shared" si="48"/>
        <v>4188.389999999999</v>
      </c>
      <c r="P120" s="117">
        <f>+P121+P122+P123+P124+P125</f>
        <v>921316.47</v>
      </c>
      <c r="Q120" s="121">
        <f t="shared" si="46"/>
        <v>3198984.5199999996</v>
      </c>
      <c r="R120" s="122">
        <f t="shared" si="43"/>
        <v>1</v>
      </c>
      <c r="S120" s="121">
        <f t="shared" si="38"/>
        <v>0</v>
      </c>
      <c r="T120" s="122">
        <f t="shared" si="39"/>
        <v>0</v>
      </c>
      <c r="U120" s="121">
        <f>+U123+U124+U125</f>
        <v>0</v>
      </c>
      <c r="V120" s="122">
        <f t="shared" si="40"/>
        <v>0</v>
      </c>
    </row>
    <row r="121" spans="1:22" s="13" customFormat="1" ht="15">
      <c r="A121" s="34" t="s">
        <v>238</v>
      </c>
      <c r="B121" s="28" t="s">
        <v>239</v>
      </c>
      <c r="C121" s="69">
        <f>200000-9312</f>
        <v>190688</v>
      </c>
      <c r="D121" s="69">
        <v>0</v>
      </c>
      <c r="E121" s="69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190688</v>
      </c>
      <c r="M121" s="68">
        <v>0</v>
      </c>
      <c r="N121" s="68">
        <v>0</v>
      </c>
      <c r="O121" s="68">
        <v>0</v>
      </c>
      <c r="P121" s="68">
        <v>0</v>
      </c>
      <c r="Q121" s="79">
        <f t="shared" si="46"/>
        <v>190688</v>
      </c>
      <c r="R121" s="80">
        <f t="shared" si="43"/>
        <v>1</v>
      </c>
      <c r="S121" s="81">
        <f t="shared" si="38"/>
        <v>0</v>
      </c>
      <c r="T121" s="82">
        <f t="shared" si="39"/>
        <v>0</v>
      </c>
      <c r="U121" s="79">
        <f>+C121-Q121</f>
        <v>0</v>
      </c>
      <c r="V121" s="80">
        <f t="shared" si="40"/>
        <v>0</v>
      </c>
    </row>
    <row r="122" spans="1:22" s="13" customFormat="1" ht="15">
      <c r="A122" s="34" t="s">
        <v>270</v>
      </c>
      <c r="B122" s="28" t="s">
        <v>271</v>
      </c>
      <c r="C122" s="69">
        <f>100000-76400</f>
        <v>23600</v>
      </c>
      <c r="D122" s="69">
        <v>0</v>
      </c>
      <c r="E122" s="69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23600</v>
      </c>
      <c r="M122" s="68">
        <v>0</v>
      </c>
      <c r="N122" s="68">
        <v>0</v>
      </c>
      <c r="O122" s="68">
        <v>0</v>
      </c>
      <c r="P122" s="68">
        <v>0</v>
      </c>
      <c r="Q122" s="79">
        <f t="shared" si="46"/>
        <v>23600</v>
      </c>
      <c r="R122" s="80">
        <f t="shared" si="43"/>
        <v>1</v>
      </c>
      <c r="S122" s="81">
        <f t="shared" si="38"/>
        <v>0</v>
      </c>
      <c r="T122" s="82">
        <f t="shared" si="39"/>
        <v>0</v>
      </c>
      <c r="U122" s="79">
        <f>+C122-Q122</f>
        <v>0</v>
      </c>
      <c r="V122" s="80">
        <f t="shared" si="40"/>
        <v>0</v>
      </c>
    </row>
    <row r="123" spans="1:29" s="3" customFormat="1" ht="15">
      <c r="A123" s="34" t="s">
        <v>186</v>
      </c>
      <c r="B123" s="28" t="s">
        <v>93</v>
      </c>
      <c r="C123" s="53">
        <f>3200000-2000000-50000-200000-600000+610592.99</f>
        <v>960592.99</v>
      </c>
      <c r="D123" s="69">
        <v>0</v>
      </c>
      <c r="E123" s="69">
        <v>0</v>
      </c>
      <c r="F123" s="68">
        <v>1770</v>
      </c>
      <c r="G123" s="68">
        <v>0</v>
      </c>
      <c r="H123" s="68">
        <v>2400</v>
      </c>
      <c r="I123" s="68">
        <v>5900</v>
      </c>
      <c r="J123" s="68">
        <v>3577</v>
      </c>
      <c r="K123" s="68">
        <v>27842</v>
      </c>
      <c r="L123" s="68">
        <v>0</v>
      </c>
      <c r="M123" s="68">
        <v>0</v>
      </c>
      <c r="N123" s="68">
        <v>1652</v>
      </c>
      <c r="O123" s="68">
        <v>1180</v>
      </c>
      <c r="P123" s="68">
        <v>916271.99</v>
      </c>
      <c r="Q123" s="79">
        <f t="shared" si="46"/>
        <v>960592.99</v>
      </c>
      <c r="R123" s="80">
        <f t="shared" si="43"/>
        <v>1</v>
      </c>
      <c r="S123" s="81">
        <f t="shared" si="38"/>
        <v>0</v>
      </c>
      <c r="T123" s="82">
        <f t="shared" si="39"/>
        <v>0</v>
      </c>
      <c r="U123" s="79">
        <f>+C123-Q123</f>
        <v>0</v>
      </c>
      <c r="V123" s="80">
        <f t="shared" si="40"/>
        <v>0</v>
      </c>
      <c r="AC123" s="4"/>
    </row>
    <row r="124" spans="1:29" s="3" customFormat="1" ht="15">
      <c r="A124" s="34" t="s">
        <v>187</v>
      </c>
      <c r="B124" s="28" t="s">
        <v>321</v>
      </c>
      <c r="C124" s="53">
        <f>100000-91477.38</f>
        <v>8522.619999999995</v>
      </c>
      <c r="D124" s="69">
        <v>0</v>
      </c>
      <c r="E124" s="69">
        <v>0</v>
      </c>
      <c r="F124" s="68">
        <v>0</v>
      </c>
      <c r="G124" s="68">
        <v>0</v>
      </c>
      <c r="H124" s="68">
        <v>1888</v>
      </c>
      <c r="I124" s="68">
        <v>0</v>
      </c>
      <c r="J124" s="68">
        <v>2478.42</v>
      </c>
      <c r="K124" s="68">
        <v>1067</v>
      </c>
      <c r="L124" s="68">
        <v>0</v>
      </c>
      <c r="M124" s="68">
        <v>0</v>
      </c>
      <c r="N124" s="68">
        <v>800</v>
      </c>
      <c r="O124" s="68">
        <v>0</v>
      </c>
      <c r="P124" s="68">
        <v>2289.2</v>
      </c>
      <c r="Q124" s="79">
        <f t="shared" si="46"/>
        <v>8522.619999999999</v>
      </c>
      <c r="R124" s="80">
        <f t="shared" si="43"/>
        <v>1.0000000000000004</v>
      </c>
      <c r="S124" s="81">
        <f t="shared" si="38"/>
        <v>0</v>
      </c>
      <c r="T124" s="82">
        <f t="shared" si="39"/>
        <v>0</v>
      </c>
      <c r="U124" s="79">
        <f>+C124-Q124</f>
        <v>0</v>
      </c>
      <c r="V124" s="80">
        <f t="shared" si="40"/>
        <v>0</v>
      </c>
      <c r="AC124" s="4"/>
    </row>
    <row r="125" spans="1:29" s="3" customFormat="1" ht="15">
      <c r="A125" s="34" t="s">
        <v>188</v>
      </c>
      <c r="B125" s="28" t="s">
        <v>94</v>
      </c>
      <c r="C125" s="53">
        <f>900000-250000+1400000-34419.09</f>
        <v>2015580.91</v>
      </c>
      <c r="D125" s="69">
        <v>0</v>
      </c>
      <c r="E125" s="68">
        <v>5598.08</v>
      </c>
      <c r="F125" s="68">
        <v>43722.79</v>
      </c>
      <c r="G125" s="68">
        <v>595382</v>
      </c>
      <c r="H125" s="68">
        <v>635.9</v>
      </c>
      <c r="I125" s="68">
        <v>2227.19</v>
      </c>
      <c r="J125" s="68">
        <v>1516.99</v>
      </c>
      <c r="K125" s="68">
        <v>874000.38</v>
      </c>
      <c r="L125" s="68">
        <v>375147.86</v>
      </c>
      <c r="M125" s="68">
        <v>106170.5</v>
      </c>
      <c r="N125" s="68">
        <v>5415.55</v>
      </c>
      <c r="O125" s="68">
        <v>3008.39</v>
      </c>
      <c r="P125" s="68">
        <v>2755.28</v>
      </c>
      <c r="Q125" s="79">
        <f t="shared" si="46"/>
        <v>2015580.91</v>
      </c>
      <c r="R125" s="80">
        <f t="shared" si="43"/>
        <v>1</v>
      </c>
      <c r="S125" s="81">
        <f t="shared" si="38"/>
        <v>0</v>
      </c>
      <c r="T125" s="82">
        <f t="shared" si="39"/>
        <v>0</v>
      </c>
      <c r="U125" s="79">
        <f>+C125-Q125</f>
        <v>0</v>
      </c>
      <c r="V125" s="80">
        <f t="shared" si="40"/>
        <v>0</v>
      </c>
      <c r="AC125" s="4"/>
    </row>
    <row r="126" spans="1:22" s="13" customFormat="1" ht="30">
      <c r="A126" s="56" t="s">
        <v>95</v>
      </c>
      <c r="B126" s="43" t="s">
        <v>96</v>
      </c>
      <c r="C126" s="117">
        <f>SUM(C127:C143)</f>
        <v>3154831.12</v>
      </c>
      <c r="D126" s="117">
        <f>+D127+D128+D129+D130+D131+D132+D133+D134+D135+D138+D139+D140+D141+D142+D143</f>
        <v>6569930</v>
      </c>
      <c r="E126" s="117">
        <f>+E128+E130+E131+E132+E133+E134+E135+E138+E140+E142+E143</f>
        <v>29622.61</v>
      </c>
      <c r="F126" s="117">
        <f>+F127+F128+F130+F132+F133+F134+F135+F138+F140+F142+F143</f>
        <v>389394.5</v>
      </c>
      <c r="G126" s="117">
        <f>+G127+G128+G131+G132+G133+G135+G138+G140+G142+G143</f>
        <v>11769.7</v>
      </c>
      <c r="H126" s="117">
        <f>+H127+H128+H130+H131+H132+H133+H134+H135+H138+H140+H141+H142+H143</f>
        <v>31064.260000000002</v>
      </c>
      <c r="I126" s="117">
        <f>+I127+I130+I131+I132+I133+I134+I135+I138+I140+I141+I142+I143</f>
        <v>66639.72</v>
      </c>
      <c r="J126" s="117">
        <f>+J127+J130+J131+J132+J133+J134+J135+J138+J140+J141+J142+J143</f>
        <v>838083.07</v>
      </c>
      <c r="K126" s="117">
        <f>+K127+K130+K131+K132+K133+K134+K135+K138+K140+K141+K142+K143</f>
        <v>83335.08</v>
      </c>
      <c r="L126" s="117">
        <f>+L127+L128+L130+L131+L132+L133+L134+L135+L138+L139+L140+L141+L142+L143</f>
        <v>236831.03</v>
      </c>
      <c r="M126" s="117">
        <f>+M127+M128+M129+M130+M131+M132+M133+M134+M135+M138+M139+M140+M141+M142+M143</f>
        <v>1406842.14</v>
      </c>
      <c r="N126" s="117">
        <f>+N127+N128+N129+N130+N131+N132+N133+N134+N135+N138+N139+N140+N141+N142+N143</f>
        <v>24448.28</v>
      </c>
      <c r="O126" s="117">
        <f>+O127+O128+O129+O130+O131+O132+O133+O134+O135+O138+O139+O140+O141+O142+O143</f>
        <v>10897.63</v>
      </c>
      <c r="P126" s="117">
        <f>+P127+P128+P129+P130+P131+P132+P133+P134+P135+P138+P139+P140+P141+P142+P143</f>
        <v>25903.1</v>
      </c>
      <c r="Q126" s="121">
        <f t="shared" si="46"/>
        <v>3154831.1199999996</v>
      </c>
      <c r="R126" s="122">
        <f>+Q126/(C126+D126)</f>
        <v>0.32441219697538437</v>
      </c>
      <c r="S126" s="121">
        <f t="shared" si="38"/>
        <v>0</v>
      </c>
      <c r="T126" s="122">
        <f t="shared" si="39"/>
        <v>0</v>
      </c>
      <c r="U126" s="121">
        <f>SUM(U127:U143)</f>
        <v>6569930</v>
      </c>
      <c r="V126" s="122">
        <f>+U126/(C126+D126)</f>
        <v>0.6755878030246155</v>
      </c>
    </row>
    <row r="127" spans="1:29" s="3" customFormat="1" ht="15">
      <c r="A127" s="34" t="s">
        <v>189</v>
      </c>
      <c r="B127" s="28" t="s">
        <v>322</v>
      </c>
      <c r="C127" s="91">
        <f>150000-48272.6</f>
        <v>101727.4</v>
      </c>
      <c r="D127" s="69">
        <v>0</v>
      </c>
      <c r="E127" s="69">
        <v>0</v>
      </c>
      <c r="F127" s="68">
        <v>101727.4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79">
        <f aca="true" t="shared" si="49" ref="Q127:Q143">SUM(E127:P127)</f>
        <v>101727.4</v>
      </c>
      <c r="R127" s="80">
        <f>+Q127/C127</f>
        <v>1</v>
      </c>
      <c r="S127" s="81">
        <f t="shared" si="38"/>
        <v>0</v>
      </c>
      <c r="T127" s="82">
        <f t="shared" si="39"/>
        <v>0</v>
      </c>
      <c r="U127" s="79">
        <f aca="true" t="shared" si="50" ref="U127:U139">+C127-Q127</f>
        <v>0</v>
      </c>
      <c r="V127" s="80">
        <f>+U127/C127</f>
        <v>0</v>
      </c>
      <c r="AC127" s="4"/>
    </row>
    <row r="128" spans="1:29" s="3" customFormat="1" ht="15">
      <c r="A128" s="34" t="s">
        <v>301</v>
      </c>
      <c r="B128" s="28" t="s">
        <v>302</v>
      </c>
      <c r="C128" s="69">
        <v>0</v>
      </c>
      <c r="D128" s="69">
        <v>0</v>
      </c>
      <c r="E128" s="69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79">
        <f t="shared" si="49"/>
        <v>0</v>
      </c>
      <c r="R128" s="80">
        <v>0</v>
      </c>
      <c r="S128" s="81">
        <f t="shared" si="38"/>
        <v>0</v>
      </c>
      <c r="T128" s="82" t="e">
        <f t="shared" si="39"/>
        <v>#DIV/0!</v>
      </c>
      <c r="U128" s="79">
        <f t="shared" si="50"/>
        <v>0</v>
      </c>
      <c r="V128" s="80">
        <v>0</v>
      </c>
      <c r="AC128" s="4"/>
    </row>
    <row r="129" spans="1:29" s="3" customFormat="1" ht="15">
      <c r="A129" s="150" t="s">
        <v>435</v>
      </c>
      <c r="B129" s="28" t="s">
        <v>436</v>
      </c>
      <c r="C129" s="69">
        <f>50000-30825</f>
        <v>19175</v>
      </c>
      <c r="D129" s="69">
        <v>0</v>
      </c>
      <c r="E129" s="69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19175</v>
      </c>
      <c r="N129" s="68">
        <v>0</v>
      </c>
      <c r="O129" s="68">
        <v>0</v>
      </c>
      <c r="P129" s="68">
        <v>0</v>
      </c>
      <c r="Q129" s="79">
        <f t="shared" si="49"/>
        <v>19175</v>
      </c>
      <c r="R129" s="80">
        <f aca="true" t="shared" si="51" ref="R129:R139">+Q129/C129</f>
        <v>1</v>
      </c>
      <c r="S129" s="81">
        <f t="shared" si="38"/>
        <v>0</v>
      </c>
      <c r="T129" s="82">
        <f t="shared" si="39"/>
        <v>0</v>
      </c>
      <c r="U129" s="79">
        <f t="shared" si="50"/>
        <v>0</v>
      </c>
      <c r="V129" s="80">
        <f aca="true" t="shared" si="52" ref="V129:V142">+U129/C129</f>
        <v>0</v>
      </c>
      <c r="AC129" s="4"/>
    </row>
    <row r="130" spans="1:29" s="3" customFormat="1" ht="15">
      <c r="A130" s="131" t="s">
        <v>404</v>
      </c>
      <c r="B130" s="28" t="s">
        <v>434</v>
      </c>
      <c r="C130" s="69">
        <f>150000-17084.8</f>
        <v>132915.2</v>
      </c>
      <c r="D130" s="69">
        <v>0</v>
      </c>
      <c r="E130" s="69">
        <v>0</v>
      </c>
      <c r="F130" s="68">
        <v>132915.2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79">
        <f t="shared" si="49"/>
        <v>132915.2</v>
      </c>
      <c r="R130" s="80">
        <f t="shared" si="51"/>
        <v>1</v>
      </c>
      <c r="S130" s="81">
        <f t="shared" si="38"/>
        <v>0</v>
      </c>
      <c r="T130" s="82">
        <f t="shared" si="39"/>
        <v>0</v>
      </c>
      <c r="U130" s="79">
        <f t="shared" si="50"/>
        <v>0</v>
      </c>
      <c r="V130" s="80">
        <f t="shared" si="52"/>
        <v>0</v>
      </c>
      <c r="AC130" s="4"/>
    </row>
    <row r="131" spans="1:29" s="3" customFormat="1" ht="15">
      <c r="A131" s="34" t="s">
        <v>190</v>
      </c>
      <c r="B131" s="28" t="s">
        <v>355</v>
      </c>
      <c r="C131" s="91">
        <f>35000+100000-30927.92</f>
        <v>104072.08</v>
      </c>
      <c r="D131" s="69">
        <v>0</v>
      </c>
      <c r="E131" s="69">
        <v>0</v>
      </c>
      <c r="F131" s="68">
        <v>0</v>
      </c>
      <c r="G131" s="68">
        <v>413</v>
      </c>
      <c r="H131" s="68">
        <v>0</v>
      </c>
      <c r="I131" s="68">
        <v>600</v>
      </c>
      <c r="J131" s="68">
        <v>0</v>
      </c>
      <c r="K131" s="68">
        <v>1100</v>
      </c>
      <c r="L131" s="68">
        <v>101959.08</v>
      </c>
      <c r="M131" s="68">
        <v>0</v>
      </c>
      <c r="N131" s="68">
        <v>0</v>
      </c>
      <c r="O131" s="68">
        <v>0</v>
      </c>
      <c r="P131" s="68">
        <v>0</v>
      </c>
      <c r="Q131" s="79">
        <f t="shared" si="49"/>
        <v>104072.08</v>
      </c>
      <c r="R131" s="80">
        <f t="shared" si="51"/>
        <v>1</v>
      </c>
      <c r="S131" s="81">
        <f t="shared" si="38"/>
        <v>0</v>
      </c>
      <c r="T131" s="82">
        <f t="shared" si="39"/>
        <v>0</v>
      </c>
      <c r="U131" s="79">
        <f t="shared" si="50"/>
        <v>0</v>
      </c>
      <c r="V131" s="80">
        <f t="shared" si="52"/>
        <v>0</v>
      </c>
      <c r="AC131" s="4"/>
    </row>
    <row r="132" spans="1:29" s="3" customFormat="1" ht="15">
      <c r="A132" s="60" t="s">
        <v>356</v>
      </c>
      <c r="B132" s="28" t="s">
        <v>357</v>
      </c>
      <c r="C132" s="91">
        <f>200000-89398.07</f>
        <v>110601.93</v>
      </c>
      <c r="D132" s="69">
        <v>0</v>
      </c>
      <c r="E132" s="69">
        <v>0</v>
      </c>
      <c r="F132" s="68">
        <v>28366.85</v>
      </c>
      <c r="G132" s="68">
        <v>0</v>
      </c>
      <c r="H132" s="68">
        <v>0</v>
      </c>
      <c r="I132" s="68">
        <v>0</v>
      </c>
      <c r="J132" s="68">
        <v>0</v>
      </c>
      <c r="K132" s="68">
        <v>82235.08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79">
        <f t="shared" si="49"/>
        <v>110601.93</v>
      </c>
      <c r="R132" s="80">
        <f t="shared" si="51"/>
        <v>1</v>
      </c>
      <c r="S132" s="81">
        <f t="shared" si="38"/>
        <v>0</v>
      </c>
      <c r="T132" s="82">
        <f t="shared" si="39"/>
        <v>0</v>
      </c>
      <c r="U132" s="79">
        <f t="shared" si="50"/>
        <v>0</v>
      </c>
      <c r="V132" s="80">
        <f t="shared" si="52"/>
        <v>0</v>
      </c>
      <c r="AC132" s="4"/>
    </row>
    <row r="133" spans="1:29" s="3" customFormat="1" ht="15">
      <c r="A133" s="34" t="s">
        <v>191</v>
      </c>
      <c r="B133" s="28" t="s">
        <v>323</v>
      </c>
      <c r="C133" s="91">
        <f>150000-148675.01</f>
        <v>1324.9899999999907</v>
      </c>
      <c r="D133" s="69">
        <v>0</v>
      </c>
      <c r="E133" s="69">
        <v>0</v>
      </c>
      <c r="F133" s="68">
        <v>1324.99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79">
        <f t="shared" si="49"/>
        <v>1324.99</v>
      </c>
      <c r="R133" s="80">
        <f t="shared" si="51"/>
        <v>1.000000000000007</v>
      </c>
      <c r="S133" s="81">
        <f t="shared" si="38"/>
        <v>-9.322320693172514E-12</v>
      </c>
      <c r="T133" s="82">
        <f t="shared" si="39"/>
        <v>-7.035766830823312E-15</v>
      </c>
      <c r="U133" s="79">
        <v>0</v>
      </c>
      <c r="V133" s="80">
        <f t="shared" si="52"/>
        <v>0</v>
      </c>
      <c r="AC133" s="4"/>
    </row>
    <row r="134" spans="1:22" s="3" customFormat="1" ht="15">
      <c r="A134" s="34" t="s">
        <v>192</v>
      </c>
      <c r="B134" s="28" t="s">
        <v>324</v>
      </c>
      <c r="C134" s="91">
        <v>0</v>
      </c>
      <c r="D134" s="69">
        <v>0</v>
      </c>
      <c r="E134" s="69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79">
        <f t="shared" si="49"/>
        <v>0</v>
      </c>
      <c r="R134" s="80" t="e">
        <f t="shared" si="51"/>
        <v>#DIV/0!</v>
      </c>
      <c r="S134" s="81">
        <f t="shared" si="38"/>
        <v>0</v>
      </c>
      <c r="T134" s="82" t="e">
        <f t="shared" si="39"/>
        <v>#DIV/0!</v>
      </c>
      <c r="U134" s="79">
        <f t="shared" si="50"/>
        <v>0</v>
      </c>
      <c r="V134" s="80" t="e">
        <f t="shared" si="52"/>
        <v>#DIV/0!</v>
      </c>
    </row>
    <row r="135" spans="1:22" s="3" customFormat="1" ht="15">
      <c r="A135" s="34" t="s">
        <v>193</v>
      </c>
      <c r="B135" s="28" t="s">
        <v>97</v>
      </c>
      <c r="C135" s="91">
        <f>500000-300000-50000-53340.61</f>
        <v>96659.39</v>
      </c>
      <c r="D135" s="69">
        <v>0</v>
      </c>
      <c r="E135" s="68">
        <v>29622.61</v>
      </c>
      <c r="F135" s="68">
        <v>16685.4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24448.28</v>
      </c>
      <c r="O135" s="68">
        <v>0</v>
      </c>
      <c r="P135" s="68">
        <v>25903.1</v>
      </c>
      <c r="Q135" s="79">
        <f t="shared" si="49"/>
        <v>96659.39000000001</v>
      </c>
      <c r="R135" s="80">
        <f t="shared" si="51"/>
        <v>1.0000000000000002</v>
      </c>
      <c r="S135" s="81">
        <f t="shared" si="38"/>
        <v>0</v>
      </c>
      <c r="T135" s="82">
        <f t="shared" si="39"/>
        <v>0</v>
      </c>
      <c r="U135" s="79">
        <f t="shared" si="50"/>
        <v>0</v>
      </c>
      <c r="V135" s="80">
        <f t="shared" si="52"/>
        <v>0</v>
      </c>
    </row>
    <row r="136" spans="1:22" s="3" customFormat="1" ht="15" hidden="1">
      <c r="A136" s="34" t="s">
        <v>98</v>
      </c>
      <c r="B136" s="28" t="s">
        <v>99</v>
      </c>
      <c r="C136" s="91"/>
      <c r="D136" s="69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79">
        <f t="shared" si="49"/>
        <v>0</v>
      </c>
      <c r="R136" s="80" t="e">
        <f t="shared" si="51"/>
        <v>#DIV/0!</v>
      </c>
      <c r="S136" s="81">
        <f t="shared" si="38"/>
        <v>0</v>
      </c>
      <c r="T136" s="82" t="e">
        <f t="shared" si="39"/>
        <v>#DIV/0!</v>
      </c>
      <c r="U136" s="79">
        <f t="shared" si="50"/>
        <v>0</v>
      </c>
      <c r="V136" s="80" t="e">
        <f t="shared" si="52"/>
        <v>#DIV/0!</v>
      </c>
    </row>
    <row r="137" spans="1:22" s="3" customFormat="1" ht="15" hidden="1">
      <c r="A137" s="34" t="s">
        <v>100</v>
      </c>
      <c r="B137" s="28" t="s">
        <v>101</v>
      </c>
      <c r="C137" s="91"/>
      <c r="D137" s="69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79">
        <f t="shared" si="49"/>
        <v>0</v>
      </c>
      <c r="R137" s="80" t="e">
        <f t="shared" si="51"/>
        <v>#DIV/0!</v>
      </c>
      <c r="S137" s="81">
        <f t="shared" si="38"/>
        <v>0</v>
      </c>
      <c r="T137" s="82" t="e">
        <f t="shared" si="39"/>
        <v>#DIV/0!</v>
      </c>
      <c r="U137" s="79">
        <f t="shared" si="50"/>
        <v>0</v>
      </c>
      <c r="V137" s="80" t="e">
        <f t="shared" si="52"/>
        <v>#DIV/0!</v>
      </c>
    </row>
    <row r="138" spans="1:22" s="3" customFormat="1" ht="15">
      <c r="A138" s="34" t="s">
        <v>250</v>
      </c>
      <c r="B138" s="28" t="s">
        <v>251</v>
      </c>
      <c r="C138" s="69">
        <f>5000-4710.9</f>
        <v>289.10000000000036</v>
      </c>
      <c r="D138" s="69">
        <v>0</v>
      </c>
      <c r="E138" s="69">
        <v>0</v>
      </c>
      <c r="F138" s="68">
        <v>289.1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79">
        <f t="shared" si="49"/>
        <v>289.1</v>
      </c>
      <c r="R138" s="80">
        <f t="shared" si="51"/>
        <v>0.9999999999999988</v>
      </c>
      <c r="S138" s="81">
        <f t="shared" si="38"/>
        <v>0</v>
      </c>
      <c r="T138" s="82">
        <f t="shared" si="39"/>
        <v>0</v>
      </c>
      <c r="U138" s="79">
        <f t="shared" si="50"/>
        <v>0</v>
      </c>
      <c r="V138" s="80">
        <f t="shared" si="52"/>
        <v>0</v>
      </c>
    </row>
    <row r="139" spans="1:22" s="3" customFormat="1" ht="15">
      <c r="A139" s="146" t="s">
        <v>433</v>
      </c>
      <c r="B139" s="28" t="s">
        <v>99</v>
      </c>
      <c r="C139" s="69">
        <f>50000-15428.61</f>
        <v>34571.39</v>
      </c>
      <c r="D139" s="69"/>
      <c r="E139" s="69"/>
      <c r="F139" s="68"/>
      <c r="G139" s="68"/>
      <c r="H139" s="68"/>
      <c r="I139" s="68"/>
      <c r="J139" s="68"/>
      <c r="K139" s="68">
        <v>0</v>
      </c>
      <c r="L139" s="68">
        <v>34571.39</v>
      </c>
      <c r="M139" s="68">
        <v>0</v>
      </c>
      <c r="N139" s="68">
        <v>0</v>
      </c>
      <c r="O139" s="68">
        <v>0</v>
      </c>
      <c r="P139" s="68">
        <v>0</v>
      </c>
      <c r="Q139" s="79">
        <f>SUM(E139:P139)</f>
        <v>34571.39</v>
      </c>
      <c r="R139" s="80">
        <f t="shared" si="51"/>
        <v>1</v>
      </c>
      <c r="S139" s="81">
        <f t="shared" si="38"/>
        <v>0</v>
      </c>
      <c r="T139" s="82">
        <f t="shared" si="39"/>
        <v>0</v>
      </c>
      <c r="U139" s="79">
        <f t="shared" si="50"/>
        <v>0</v>
      </c>
      <c r="V139" s="80">
        <f t="shared" si="52"/>
        <v>0</v>
      </c>
    </row>
    <row r="140" spans="1:22" s="3" customFormat="1" ht="15">
      <c r="A140" s="96" t="s">
        <v>391</v>
      </c>
      <c r="B140" s="28" t="s">
        <v>405</v>
      </c>
      <c r="C140" s="69">
        <f>1500000+1100000-50207.15</f>
        <v>2549792.85</v>
      </c>
      <c r="D140" s="69">
        <v>6569930</v>
      </c>
      <c r="E140" s="69">
        <v>0</v>
      </c>
      <c r="F140" s="68">
        <v>108085.56</v>
      </c>
      <c r="G140" s="68">
        <v>11356.7</v>
      </c>
      <c r="H140" s="68">
        <v>27362.47</v>
      </c>
      <c r="I140" s="68">
        <v>66039.72</v>
      </c>
      <c r="J140" s="68">
        <v>838083.07</v>
      </c>
      <c r="K140" s="68">
        <v>0</v>
      </c>
      <c r="L140" s="68">
        <v>100300.56</v>
      </c>
      <c r="M140" s="68">
        <v>1387667.14</v>
      </c>
      <c r="N140" s="68">
        <v>0</v>
      </c>
      <c r="O140" s="68">
        <v>10897.63</v>
      </c>
      <c r="P140" s="68">
        <v>0</v>
      </c>
      <c r="Q140" s="79">
        <f>SUM(E140:P140)</f>
        <v>2549792.8499999996</v>
      </c>
      <c r="R140" s="80">
        <f>+Q140/(D140+C140)</f>
        <v>0.2795910459055233</v>
      </c>
      <c r="S140" s="81">
        <f t="shared" si="38"/>
        <v>0</v>
      </c>
      <c r="T140" s="82">
        <f t="shared" si="39"/>
        <v>0</v>
      </c>
      <c r="U140" s="79">
        <f>+C140+D140-Q140</f>
        <v>6569930</v>
      </c>
      <c r="V140" s="80">
        <f t="shared" si="52"/>
        <v>2.5766524523747094</v>
      </c>
    </row>
    <row r="141" spans="1:22" s="3" customFormat="1" ht="15">
      <c r="A141" s="137" t="s">
        <v>415</v>
      </c>
      <c r="B141" s="28" t="s">
        <v>416</v>
      </c>
      <c r="C141" s="69">
        <f>5000-1298.21</f>
        <v>3701.79</v>
      </c>
      <c r="D141" s="69">
        <v>0</v>
      </c>
      <c r="E141" s="69">
        <v>0</v>
      </c>
      <c r="F141" s="68">
        <v>0</v>
      </c>
      <c r="G141" s="68">
        <v>0</v>
      </c>
      <c r="H141" s="68">
        <v>3701.79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79">
        <f t="shared" si="49"/>
        <v>3701.79</v>
      </c>
      <c r="R141" s="80">
        <f>+Q141/C141</f>
        <v>1</v>
      </c>
      <c r="S141" s="81">
        <f t="shared" si="38"/>
        <v>0</v>
      </c>
      <c r="T141" s="82">
        <f t="shared" si="39"/>
        <v>0</v>
      </c>
      <c r="U141" s="79">
        <f>+C141-Q141</f>
        <v>0</v>
      </c>
      <c r="V141" s="80">
        <f t="shared" si="52"/>
        <v>0</v>
      </c>
    </row>
    <row r="142" spans="1:22" s="3" customFormat="1" ht="15">
      <c r="A142" s="34" t="s">
        <v>194</v>
      </c>
      <c r="B142" s="28" t="s">
        <v>325</v>
      </c>
      <c r="C142" s="91">
        <v>0</v>
      </c>
      <c r="D142" s="69">
        <v>0</v>
      </c>
      <c r="E142" s="69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79">
        <f t="shared" si="49"/>
        <v>0</v>
      </c>
      <c r="R142" s="80" t="e">
        <f>+Q142/C142</f>
        <v>#DIV/0!</v>
      </c>
      <c r="S142" s="81">
        <f t="shared" si="38"/>
        <v>0</v>
      </c>
      <c r="T142" s="82" t="e">
        <f t="shared" si="39"/>
        <v>#DIV/0!</v>
      </c>
      <c r="U142" s="79">
        <f>+C142-Q142</f>
        <v>0</v>
      </c>
      <c r="V142" s="80" t="e">
        <f t="shared" si="52"/>
        <v>#DIV/0!</v>
      </c>
    </row>
    <row r="143" spans="1:22" s="3" customFormat="1" ht="15">
      <c r="A143" s="46" t="s">
        <v>315</v>
      </c>
      <c r="B143" s="28" t="s">
        <v>316</v>
      </c>
      <c r="C143" s="69">
        <v>0</v>
      </c>
      <c r="D143" s="69">
        <v>0</v>
      </c>
      <c r="E143" s="69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79">
        <f t="shared" si="49"/>
        <v>0</v>
      </c>
      <c r="R143" s="80">
        <v>0</v>
      </c>
      <c r="S143" s="81">
        <f t="shared" si="38"/>
        <v>0</v>
      </c>
      <c r="T143" s="82" t="e">
        <f t="shared" si="39"/>
        <v>#DIV/0!</v>
      </c>
      <c r="U143" s="79">
        <f>+C143-Q143</f>
        <v>0</v>
      </c>
      <c r="V143" s="80">
        <v>0</v>
      </c>
    </row>
    <row r="144" spans="1:22" s="3" customFormat="1" ht="15" hidden="1">
      <c r="A144" s="27" t="s">
        <v>102</v>
      </c>
      <c r="B144" s="6" t="s">
        <v>103</v>
      </c>
      <c r="C144" s="92">
        <v>0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87"/>
      <c r="R144" s="87"/>
      <c r="S144" s="93">
        <v>0</v>
      </c>
      <c r="T144" s="93"/>
      <c r="U144" s="87"/>
      <c r="V144" s="87"/>
    </row>
    <row r="145" spans="1:22" s="13" customFormat="1" ht="30">
      <c r="A145" s="56" t="s">
        <v>104</v>
      </c>
      <c r="B145" s="43" t="s">
        <v>105</v>
      </c>
      <c r="C145" s="117">
        <f>SUM(C146:C164)</f>
        <v>51203062.089999996</v>
      </c>
      <c r="D145" s="117">
        <f>+D146+D147+D149+D151+D152+D155+D156+D158+D161+D163+D164</f>
        <v>8000000</v>
      </c>
      <c r="E145" s="117">
        <f>+E146+E147+E148+E149+E151+E152+E154+E155+E156+E158+E161+E162+E163+E164</f>
        <v>3543745.8</v>
      </c>
      <c r="F145" s="117">
        <f>+F146+F147+F148+F149+F151+F152+F154+F155+F156+F158+F161+F162+F163+F164</f>
        <v>3844480.42</v>
      </c>
      <c r="G145" s="117">
        <f>+G146+G147+G148+G149+G151+G152+G154+G155+G156+G158+G161+G162+G163+G164</f>
        <v>3854166.17</v>
      </c>
      <c r="H145" s="117">
        <f>+H146+H147+H148+H149+H151+H152+H154+H156+H158+H161+H162+H163+H164</f>
        <v>3809582.23</v>
      </c>
      <c r="I145" s="117">
        <f>+I146+I147+I148+I149+I151+I152+I154+I155+I156+I158+I161+I162+I163+I164</f>
        <v>810036.5900000001</v>
      </c>
      <c r="J145" s="117">
        <f>+J146+J147+J148+J149+J151+J152+J154+J155+J156+J158+J160+J161+J162+J163+J164</f>
        <v>10463564.3</v>
      </c>
      <c r="K145" s="117">
        <f>+K146+K147+K148+K149+K151+K152+K154+K155+K156+K158+K160+K161+K162+K163+K164</f>
        <v>590836.37</v>
      </c>
      <c r="L145" s="117">
        <f>+L146+L147+L148+L149+L151+L152+L154+L155+L156+L158+L160+L161+L162+L163+L164</f>
        <v>5028127.84</v>
      </c>
      <c r="M145" s="117">
        <f>+M146+M147+M148+M149+M151+M152+M154+M155+M156+M158+M160+M161+M162+M163+M164</f>
        <v>1062430.35</v>
      </c>
      <c r="N145" s="117">
        <f>+N146+N147+N148+N149+N151+N152+N154+N155+N156+N158+N160+N161+N162+N163+N164</f>
        <v>11495665.389999999</v>
      </c>
      <c r="O145" s="117">
        <f>+O146+O147+O148+O149+O151+O152+O154+O155+O156+O157+O158+O160+O161+O162+O163+O164</f>
        <v>614417.27</v>
      </c>
      <c r="P145" s="117">
        <f>+P146+P147+P148+P149+P151+P152+P154+P155+P156+P157+P158+P160+P161+P162+P163+P164</f>
        <v>6086009.359999999</v>
      </c>
      <c r="Q145" s="121">
        <f>SUM(E145:P145)</f>
        <v>51203062.09</v>
      </c>
      <c r="R145" s="122">
        <f>+Q145/(C145+D145)</f>
        <v>0.8648718542997242</v>
      </c>
      <c r="S145" s="121">
        <f aca="true" t="shared" si="53" ref="S145:S176">+C145-Q145</f>
        <v>0</v>
      </c>
      <c r="T145" s="122">
        <f aca="true" t="shared" si="54" ref="T145:T176">+S145/C145</f>
        <v>0</v>
      </c>
      <c r="U145" s="121">
        <f>+C145+D145-Q145</f>
        <v>7999999.999999993</v>
      </c>
      <c r="V145" s="122">
        <f>+U145/(C145+D145)</f>
        <v>0.13512814570027576</v>
      </c>
    </row>
    <row r="146" spans="1:22" s="3" customFormat="1" ht="15">
      <c r="A146" s="59" t="s">
        <v>195</v>
      </c>
      <c r="B146" s="29" t="s">
        <v>106</v>
      </c>
      <c r="C146" s="53">
        <f>32941357+1292136.47</f>
        <v>34233493.47</v>
      </c>
      <c r="D146" s="69">
        <v>4000000</v>
      </c>
      <c r="E146" s="68">
        <v>2855018.32</v>
      </c>
      <c r="F146" s="68">
        <v>2095553.97</v>
      </c>
      <c r="G146" s="68">
        <v>3106198.87</v>
      </c>
      <c r="H146" s="68">
        <v>2773294.88</v>
      </c>
      <c r="I146" s="68">
        <v>228373.74</v>
      </c>
      <c r="J146" s="68">
        <v>7241949.33</v>
      </c>
      <c r="K146" s="68">
        <v>238092.59</v>
      </c>
      <c r="L146" s="68">
        <v>3032538.09</v>
      </c>
      <c r="M146" s="68">
        <v>225916.94</v>
      </c>
      <c r="N146" s="68">
        <v>8310417.7</v>
      </c>
      <c r="O146" s="68">
        <v>228031.74</v>
      </c>
      <c r="P146" s="68">
        <v>3898107.3</v>
      </c>
      <c r="Q146" s="79">
        <f>SUM(E146:P146)</f>
        <v>34233493.47</v>
      </c>
      <c r="R146" s="80">
        <f>+Q146/(D146+C146)</f>
        <v>0.8953796884101473</v>
      </c>
      <c r="S146" s="81">
        <f t="shared" si="53"/>
        <v>0</v>
      </c>
      <c r="T146" s="82">
        <f t="shared" si="54"/>
        <v>0</v>
      </c>
      <c r="U146" s="79">
        <f>+C146+D146-Q146</f>
        <v>4000000</v>
      </c>
      <c r="V146" s="80">
        <f>+U146/C146</f>
        <v>0.11684463356056078</v>
      </c>
    </row>
    <row r="147" spans="1:22" s="3" customFormat="1" ht="15">
      <c r="A147" s="59" t="s">
        <v>196</v>
      </c>
      <c r="B147" s="29" t="s">
        <v>107</v>
      </c>
      <c r="C147" s="53">
        <v>14099540.62</v>
      </c>
      <c r="D147" s="69">
        <v>4000000</v>
      </c>
      <c r="E147" s="68">
        <v>633872.9</v>
      </c>
      <c r="F147" s="68">
        <v>1533192.46</v>
      </c>
      <c r="G147" s="68">
        <v>688498.59</v>
      </c>
      <c r="H147" s="68">
        <v>917306.1</v>
      </c>
      <c r="I147" s="68">
        <v>285467.17</v>
      </c>
      <c r="J147" s="68">
        <v>3027312.14</v>
      </c>
      <c r="K147" s="68">
        <v>288865.74</v>
      </c>
      <c r="L147" s="68">
        <v>1259501.37</v>
      </c>
      <c r="M147" s="68">
        <v>282396.18</v>
      </c>
      <c r="N147" s="68">
        <v>3121054.16</v>
      </c>
      <c r="O147" s="68">
        <v>281289.68</v>
      </c>
      <c r="P147" s="68">
        <v>1780784.13</v>
      </c>
      <c r="Q147" s="79">
        <f>SUM(D147:P147)</f>
        <v>18099540.619999997</v>
      </c>
      <c r="R147" s="80">
        <f>+Q147/(D147+C147)</f>
        <v>1</v>
      </c>
      <c r="S147" s="81">
        <f t="shared" si="53"/>
        <v>-3999999.999999998</v>
      </c>
      <c r="T147" s="82">
        <f t="shared" si="54"/>
        <v>-0.283697186156977</v>
      </c>
      <c r="U147" s="79">
        <f>+C147+D147-Q147</f>
        <v>0</v>
      </c>
      <c r="V147" s="80">
        <f>+U147/C147</f>
        <v>0</v>
      </c>
    </row>
    <row r="148" spans="1:22" s="3" customFormat="1" ht="15">
      <c r="A148" s="59" t="s">
        <v>290</v>
      </c>
      <c r="B148" s="29" t="s">
        <v>291</v>
      </c>
      <c r="C148" s="53">
        <v>0</v>
      </c>
      <c r="D148" s="69">
        <v>0</v>
      </c>
      <c r="E148" s="69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79">
        <f aca="true" t="shared" si="55" ref="Q148:Q163">SUM(E148:P148)</f>
        <v>0</v>
      </c>
      <c r="R148" s="80">
        <v>0</v>
      </c>
      <c r="S148" s="81">
        <f t="shared" si="53"/>
        <v>0</v>
      </c>
      <c r="T148" s="82" t="e">
        <f t="shared" si="54"/>
        <v>#DIV/0!</v>
      </c>
      <c r="U148" s="79">
        <f aca="true" t="shared" si="56" ref="U148:U164">+C148-Q148</f>
        <v>0</v>
      </c>
      <c r="V148" s="80">
        <v>0</v>
      </c>
    </row>
    <row r="149" spans="1:29" s="7" customFormat="1" ht="15">
      <c r="A149" s="59" t="s">
        <v>197</v>
      </c>
      <c r="B149" s="29" t="s">
        <v>108</v>
      </c>
      <c r="C149" s="53">
        <f>700000-500000-11968</f>
        <v>188032</v>
      </c>
      <c r="D149" s="69">
        <v>0</v>
      </c>
      <c r="E149" s="68">
        <v>0</v>
      </c>
      <c r="F149" s="68">
        <v>0</v>
      </c>
      <c r="G149" s="68">
        <v>0</v>
      </c>
      <c r="H149" s="68">
        <v>500</v>
      </c>
      <c r="I149" s="68">
        <v>0</v>
      </c>
      <c r="J149" s="68">
        <v>500</v>
      </c>
      <c r="K149" s="68">
        <v>0</v>
      </c>
      <c r="L149" s="68">
        <v>104502</v>
      </c>
      <c r="M149" s="68">
        <v>36859</v>
      </c>
      <c r="N149" s="68">
        <v>0</v>
      </c>
      <c r="O149" s="68">
        <v>43971</v>
      </c>
      <c r="P149" s="68">
        <v>1700</v>
      </c>
      <c r="Q149" s="79">
        <f t="shared" si="55"/>
        <v>188032</v>
      </c>
      <c r="R149" s="80">
        <f>+Q149/C149</f>
        <v>1</v>
      </c>
      <c r="S149" s="81">
        <f t="shared" si="53"/>
        <v>0</v>
      </c>
      <c r="T149" s="82">
        <f t="shared" si="54"/>
        <v>0</v>
      </c>
      <c r="U149" s="79">
        <f t="shared" si="56"/>
        <v>0</v>
      </c>
      <c r="V149" s="80">
        <f>+U149/C149</f>
        <v>0</v>
      </c>
      <c r="W149" s="3"/>
      <c r="X149" s="3"/>
      <c r="Y149" s="3"/>
      <c r="Z149" s="3"/>
      <c r="AA149" s="3"/>
      <c r="AB149" s="3"/>
      <c r="AC149" s="3"/>
    </row>
    <row r="150" spans="1:29" s="7" customFormat="1" ht="15" hidden="1">
      <c r="A150" s="59" t="s">
        <v>109</v>
      </c>
      <c r="B150" s="29" t="s">
        <v>110</v>
      </c>
      <c r="C150" s="94"/>
      <c r="D150" s="69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79">
        <f t="shared" si="55"/>
        <v>0</v>
      </c>
      <c r="R150" s="80" t="e">
        <f>+Q150/C150</f>
        <v>#DIV/0!</v>
      </c>
      <c r="S150" s="81">
        <f t="shared" si="53"/>
        <v>0</v>
      </c>
      <c r="T150" s="82" t="e">
        <f t="shared" si="54"/>
        <v>#DIV/0!</v>
      </c>
      <c r="U150" s="79">
        <f t="shared" si="56"/>
        <v>0</v>
      </c>
      <c r="V150" s="80" t="e">
        <f>+U150/C150</f>
        <v>#DIV/0!</v>
      </c>
      <c r="W150" s="3"/>
      <c r="X150" s="3"/>
      <c r="Y150" s="3"/>
      <c r="Z150" s="3"/>
      <c r="AA150" s="3"/>
      <c r="AB150" s="3"/>
      <c r="AC150" s="3"/>
    </row>
    <row r="151" spans="1:29" s="7" customFormat="1" ht="15">
      <c r="A151" s="59" t="s">
        <v>256</v>
      </c>
      <c r="B151" s="29" t="s">
        <v>110</v>
      </c>
      <c r="C151" s="53">
        <f>100000-15388.41</f>
        <v>84611.59</v>
      </c>
      <c r="D151" s="69">
        <v>0</v>
      </c>
      <c r="E151" s="69">
        <v>54854.58</v>
      </c>
      <c r="F151" s="68">
        <v>0</v>
      </c>
      <c r="G151" s="68">
        <v>354</v>
      </c>
      <c r="H151" s="68">
        <v>0</v>
      </c>
      <c r="I151" s="68">
        <v>0</v>
      </c>
      <c r="J151" s="68">
        <v>0</v>
      </c>
      <c r="K151" s="68">
        <v>0</v>
      </c>
      <c r="L151" s="68">
        <v>29028</v>
      </c>
      <c r="M151" s="68">
        <v>0</v>
      </c>
      <c r="N151" s="68">
        <v>0</v>
      </c>
      <c r="O151" s="68">
        <v>375.01</v>
      </c>
      <c r="P151" s="68">
        <v>0</v>
      </c>
      <c r="Q151" s="79">
        <f t="shared" si="55"/>
        <v>84611.59</v>
      </c>
      <c r="R151" s="80">
        <f>+Q151/C151</f>
        <v>1</v>
      </c>
      <c r="S151" s="81">
        <f t="shared" si="53"/>
        <v>0</v>
      </c>
      <c r="T151" s="82">
        <f t="shared" si="54"/>
        <v>0</v>
      </c>
      <c r="U151" s="79">
        <f t="shared" si="56"/>
        <v>0</v>
      </c>
      <c r="V151" s="80">
        <f>+U151/C151</f>
        <v>0</v>
      </c>
      <c r="W151" s="3"/>
      <c r="X151" s="3"/>
      <c r="Y151" s="3"/>
      <c r="Z151" s="3"/>
      <c r="AA151" s="3"/>
      <c r="AB151" s="3"/>
      <c r="AC151" s="3"/>
    </row>
    <row r="152" spans="1:29" s="7" customFormat="1" ht="15">
      <c r="A152" s="59" t="s">
        <v>198</v>
      </c>
      <c r="B152" s="29" t="s">
        <v>111</v>
      </c>
      <c r="C152" s="53">
        <f>1500000-150000-500000+264982.12</f>
        <v>1114982.12</v>
      </c>
      <c r="D152" s="69">
        <v>0</v>
      </c>
      <c r="E152" s="68">
        <v>0</v>
      </c>
      <c r="F152" s="68">
        <v>56688.49</v>
      </c>
      <c r="G152" s="68">
        <v>58499.71</v>
      </c>
      <c r="H152" s="68">
        <v>54461.22</v>
      </c>
      <c r="I152" s="68">
        <v>59655.83</v>
      </c>
      <c r="J152" s="68">
        <v>190077.83</v>
      </c>
      <c r="K152" s="68">
        <v>63577.14</v>
      </c>
      <c r="L152" s="68">
        <v>57360.27</v>
      </c>
      <c r="M152" s="68">
        <v>56479.23</v>
      </c>
      <c r="N152" s="68">
        <v>59323.54</v>
      </c>
      <c r="O152" s="68">
        <v>56275.93</v>
      </c>
      <c r="P152" s="68">
        <v>402582.93</v>
      </c>
      <c r="Q152" s="79">
        <f t="shared" si="55"/>
        <v>1114982.12</v>
      </c>
      <c r="R152" s="80">
        <f>+Q152/C152</f>
        <v>1</v>
      </c>
      <c r="S152" s="81">
        <f t="shared" si="53"/>
        <v>0</v>
      </c>
      <c r="T152" s="82">
        <f t="shared" si="54"/>
        <v>0</v>
      </c>
      <c r="U152" s="79">
        <f t="shared" si="56"/>
        <v>0</v>
      </c>
      <c r="V152" s="80">
        <f>+U152/C152</f>
        <v>0</v>
      </c>
      <c r="W152" s="3"/>
      <c r="X152" s="3"/>
      <c r="Y152" s="3"/>
      <c r="Z152" s="3"/>
      <c r="AA152" s="3"/>
      <c r="AB152" s="3"/>
      <c r="AC152" s="3"/>
    </row>
    <row r="153" spans="1:29" s="7" customFormat="1" ht="15" hidden="1">
      <c r="A153" s="45" t="s">
        <v>112</v>
      </c>
      <c r="B153" s="29" t="s">
        <v>113</v>
      </c>
      <c r="C153" s="94"/>
      <c r="D153" s="69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79">
        <f t="shared" si="55"/>
        <v>0</v>
      </c>
      <c r="R153" s="80" t="e">
        <f>+Q153/C153</f>
        <v>#DIV/0!</v>
      </c>
      <c r="S153" s="81">
        <f t="shared" si="53"/>
        <v>0</v>
      </c>
      <c r="T153" s="82" t="e">
        <f t="shared" si="54"/>
        <v>#DIV/0!</v>
      </c>
      <c r="U153" s="79">
        <f t="shared" si="56"/>
        <v>0</v>
      </c>
      <c r="V153" s="80" t="e">
        <f>+U153/C153</f>
        <v>#DIV/0!</v>
      </c>
      <c r="W153" s="3"/>
      <c r="X153" s="3"/>
      <c r="Y153" s="3"/>
      <c r="Z153" s="3"/>
      <c r="AA153" s="3"/>
      <c r="AB153" s="3"/>
      <c r="AC153" s="3"/>
    </row>
    <row r="154" spans="1:29" s="7" customFormat="1" ht="15">
      <c r="A154" s="78" t="s">
        <v>387</v>
      </c>
      <c r="B154" s="29" t="s">
        <v>388</v>
      </c>
      <c r="C154" s="53">
        <v>0</v>
      </c>
      <c r="D154" s="69">
        <v>0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79">
        <f>SUM(E154:P154)</f>
        <v>0</v>
      </c>
      <c r="R154" s="80">
        <v>0</v>
      </c>
      <c r="S154" s="81">
        <f t="shared" si="53"/>
        <v>0</v>
      </c>
      <c r="T154" s="82" t="e">
        <f t="shared" si="54"/>
        <v>#DIV/0!</v>
      </c>
      <c r="U154" s="79">
        <f t="shared" si="56"/>
        <v>0</v>
      </c>
      <c r="V154" s="80">
        <v>0</v>
      </c>
      <c r="W154" s="3"/>
      <c r="X154" s="3"/>
      <c r="Y154" s="3"/>
      <c r="Z154" s="3"/>
      <c r="AA154" s="3"/>
      <c r="AB154" s="3"/>
      <c r="AC154" s="3"/>
    </row>
    <row r="155" spans="1:29" s="7" customFormat="1" ht="15">
      <c r="A155" s="45" t="s">
        <v>257</v>
      </c>
      <c r="B155" s="29" t="s">
        <v>258</v>
      </c>
      <c r="C155" s="53">
        <f>150000+500000-71186.11</f>
        <v>578813.89</v>
      </c>
      <c r="D155" s="69">
        <v>0</v>
      </c>
      <c r="E155" s="69">
        <v>0</v>
      </c>
      <c r="F155" s="68">
        <v>0</v>
      </c>
      <c r="G155" s="68">
        <v>0</v>
      </c>
      <c r="H155" s="68">
        <v>0</v>
      </c>
      <c r="I155" s="68">
        <v>116440</v>
      </c>
      <c r="J155" s="68">
        <v>0</v>
      </c>
      <c r="K155" s="68">
        <v>300.9</v>
      </c>
      <c r="L155" s="68">
        <v>0</v>
      </c>
      <c r="M155" s="68">
        <v>460248</v>
      </c>
      <c r="N155" s="68">
        <v>1824.99</v>
      </c>
      <c r="O155" s="68">
        <v>0</v>
      </c>
      <c r="P155" s="68">
        <v>0</v>
      </c>
      <c r="Q155" s="79">
        <f t="shared" si="55"/>
        <v>578813.89</v>
      </c>
      <c r="R155" s="80">
        <f>+Q155/C155</f>
        <v>1</v>
      </c>
      <c r="S155" s="81">
        <f t="shared" si="53"/>
        <v>0</v>
      </c>
      <c r="T155" s="82">
        <f t="shared" si="54"/>
        <v>0</v>
      </c>
      <c r="U155" s="79">
        <f t="shared" si="56"/>
        <v>0</v>
      </c>
      <c r="V155" s="80">
        <f>+U155/C155</f>
        <v>0</v>
      </c>
      <c r="W155" s="3"/>
      <c r="X155" s="3"/>
      <c r="Y155" s="3"/>
      <c r="Z155" s="3"/>
      <c r="AA155" s="3"/>
      <c r="AB155" s="3"/>
      <c r="AC155" s="3"/>
    </row>
    <row r="156" spans="1:29" s="7" customFormat="1" ht="15">
      <c r="A156" s="45" t="s">
        <v>292</v>
      </c>
      <c r="B156" s="29" t="s">
        <v>113</v>
      </c>
      <c r="C156" s="53">
        <v>0</v>
      </c>
      <c r="D156" s="69">
        <v>0</v>
      </c>
      <c r="E156" s="69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79">
        <f t="shared" si="55"/>
        <v>0</v>
      </c>
      <c r="R156" s="80">
        <v>0</v>
      </c>
      <c r="S156" s="81">
        <f t="shared" si="53"/>
        <v>0</v>
      </c>
      <c r="T156" s="82" t="e">
        <f t="shared" si="54"/>
        <v>#DIV/0!</v>
      </c>
      <c r="U156" s="79">
        <f t="shared" si="56"/>
        <v>0</v>
      </c>
      <c r="V156" s="80">
        <v>0</v>
      </c>
      <c r="W156" s="3"/>
      <c r="X156" s="3"/>
      <c r="Y156" s="3"/>
      <c r="Z156" s="3"/>
      <c r="AA156" s="3"/>
      <c r="AB156" s="3"/>
      <c r="AC156" s="3"/>
    </row>
    <row r="157" spans="1:29" s="7" customFormat="1" ht="15">
      <c r="A157" s="45" t="s">
        <v>509</v>
      </c>
      <c r="B157" s="29" t="s">
        <v>508</v>
      </c>
      <c r="C157" s="53">
        <v>354</v>
      </c>
      <c r="D157" s="69">
        <v>0</v>
      </c>
      <c r="E157" s="69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354</v>
      </c>
      <c r="P157" s="68">
        <v>0</v>
      </c>
      <c r="Q157" s="79">
        <f>SUM(E157:P157)</f>
        <v>354</v>
      </c>
      <c r="R157" s="80">
        <v>0</v>
      </c>
      <c r="S157" s="81">
        <f t="shared" si="53"/>
        <v>0</v>
      </c>
      <c r="T157" s="82">
        <f t="shared" si="54"/>
        <v>0</v>
      </c>
      <c r="U157" s="79">
        <f t="shared" si="56"/>
        <v>0</v>
      </c>
      <c r="V157" s="80">
        <v>0</v>
      </c>
      <c r="W157" s="3"/>
      <c r="X157" s="3"/>
      <c r="Y157" s="3"/>
      <c r="Z157" s="3"/>
      <c r="AA157" s="3"/>
      <c r="AB157" s="3"/>
      <c r="AC157" s="3"/>
    </row>
    <row r="158" spans="1:29" s="7" customFormat="1" ht="15">
      <c r="A158" s="45" t="s">
        <v>199</v>
      </c>
      <c r="B158" s="29" t="s">
        <v>114</v>
      </c>
      <c r="C158" s="53">
        <f>300000-200000-98970</f>
        <v>1030</v>
      </c>
      <c r="D158" s="69">
        <v>0</v>
      </c>
      <c r="E158" s="69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440</v>
      </c>
      <c r="M158" s="68">
        <v>0</v>
      </c>
      <c r="N158" s="68">
        <v>0</v>
      </c>
      <c r="O158" s="68">
        <v>0</v>
      </c>
      <c r="P158" s="68">
        <v>590</v>
      </c>
      <c r="Q158" s="79">
        <f t="shared" si="55"/>
        <v>1030</v>
      </c>
      <c r="R158" s="80">
        <f>+Q158/C158</f>
        <v>1</v>
      </c>
      <c r="S158" s="81">
        <f t="shared" si="53"/>
        <v>0</v>
      </c>
      <c r="T158" s="82">
        <f t="shared" si="54"/>
        <v>0</v>
      </c>
      <c r="U158" s="79">
        <f t="shared" si="56"/>
        <v>0</v>
      </c>
      <c r="V158" s="80">
        <f>+U158/C158</f>
        <v>0</v>
      </c>
      <c r="W158" s="3"/>
      <c r="X158" s="3"/>
      <c r="Y158" s="3"/>
      <c r="Z158" s="3"/>
      <c r="AA158" s="3"/>
      <c r="AB158" s="3"/>
      <c r="AC158" s="3"/>
    </row>
    <row r="159" spans="1:29" s="7" customFormat="1" ht="15" hidden="1">
      <c r="A159" s="45" t="s">
        <v>115</v>
      </c>
      <c r="B159" s="29" t="s">
        <v>116</v>
      </c>
      <c r="C159" s="94"/>
      <c r="D159" s="69"/>
      <c r="E159" s="69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79">
        <f t="shared" si="55"/>
        <v>0</v>
      </c>
      <c r="R159" s="80" t="e">
        <f>+Q159/C159</f>
        <v>#DIV/0!</v>
      </c>
      <c r="S159" s="81">
        <f t="shared" si="53"/>
        <v>0</v>
      </c>
      <c r="T159" s="82" t="e">
        <f t="shared" si="54"/>
        <v>#DIV/0!</v>
      </c>
      <c r="U159" s="79">
        <f t="shared" si="56"/>
        <v>0</v>
      </c>
      <c r="V159" s="80" t="e">
        <f>+U159/C159</f>
        <v>#DIV/0!</v>
      </c>
      <c r="W159" s="3"/>
      <c r="X159" s="3"/>
      <c r="Y159" s="3"/>
      <c r="Z159" s="3"/>
      <c r="AA159" s="3"/>
      <c r="AB159" s="3"/>
      <c r="AC159" s="3"/>
    </row>
    <row r="160" spans="1:29" s="7" customFormat="1" ht="15">
      <c r="A160" s="45" t="s">
        <v>426</v>
      </c>
      <c r="B160" s="29" t="s">
        <v>116</v>
      </c>
      <c r="C160" s="53">
        <f>5000-4200</f>
        <v>800</v>
      </c>
      <c r="D160" s="69">
        <v>0</v>
      </c>
      <c r="E160" s="69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500</v>
      </c>
      <c r="K160" s="68">
        <v>0</v>
      </c>
      <c r="L160" s="68">
        <v>0</v>
      </c>
      <c r="M160" s="68">
        <v>0</v>
      </c>
      <c r="N160" s="68">
        <v>0</v>
      </c>
      <c r="O160" s="68">
        <v>300</v>
      </c>
      <c r="P160" s="68">
        <v>0</v>
      </c>
      <c r="Q160" s="79">
        <f>SUM(E160:P160)</f>
        <v>800</v>
      </c>
      <c r="R160" s="80">
        <f>+Q160/C160</f>
        <v>1</v>
      </c>
      <c r="S160" s="81">
        <f t="shared" si="53"/>
        <v>0</v>
      </c>
      <c r="T160" s="82">
        <f t="shared" si="54"/>
        <v>0</v>
      </c>
      <c r="U160" s="79">
        <f t="shared" si="56"/>
        <v>0</v>
      </c>
      <c r="V160" s="80">
        <f>+U160/C160</f>
        <v>0</v>
      </c>
      <c r="W160" s="3"/>
      <c r="X160" s="3"/>
      <c r="Y160" s="3"/>
      <c r="Z160" s="3"/>
      <c r="AA160" s="3"/>
      <c r="AB160" s="3"/>
      <c r="AC160" s="3"/>
    </row>
    <row r="161" spans="1:29" s="7" customFormat="1" ht="15">
      <c r="A161" s="45" t="s">
        <v>200</v>
      </c>
      <c r="B161" s="29" t="s">
        <v>117</v>
      </c>
      <c r="C161" s="53">
        <v>0</v>
      </c>
      <c r="D161" s="69">
        <v>0</v>
      </c>
      <c r="E161" s="69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79">
        <f t="shared" si="55"/>
        <v>0</v>
      </c>
      <c r="R161" s="80" t="e">
        <f>+Q161/C161</f>
        <v>#DIV/0!</v>
      </c>
      <c r="S161" s="81">
        <f t="shared" si="53"/>
        <v>0</v>
      </c>
      <c r="T161" s="82" t="e">
        <f t="shared" si="54"/>
        <v>#DIV/0!</v>
      </c>
      <c r="U161" s="79">
        <f t="shared" si="56"/>
        <v>0</v>
      </c>
      <c r="V161" s="80" t="e">
        <f>+U161/C161</f>
        <v>#DIV/0!</v>
      </c>
      <c r="W161" s="3"/>
      <c r="X161" s="3"/>
      <c r="Y161" s="3"/>
      <c r="Z161" s="3"/>
      <c r="AA161" s="3"/>
      <c r="AB161" s="3"/>
      <c r="AC161" s="3"/>
    </row>
    <row r="162" spans="1:29" s="7" customFormat="1" ht="30">
      <c r="A162" s="132" t="s">
        <v>201</v>
      </c>
      <c r="B162" s="40" t="s">
        <v>406</v>
      </c>
      <c r="C162" s="53">
        <f>550000+200000-17935.01</f>
        <v>732064.99</v>
      </c>
      <c r="D162" s="69">
        <v>0</v>
      </c>
      <c r="E162" s="68">
        <v>0</v>
      </c>
      <c r="F162" s="68">
        <v>158412</v>
      </c>
      <c r="G162" s="68">
        <v>615</v>
      </c>
      <c r="H162" s="68">
        <v>29521.55</v>
      </c>
      <c r="I162" s="68">
        <v>61633.17</v>
      </c>
      <c r="J162" s="68">
        <v>3225</v>
      </c>
      <c r="K162" s="68">
        <v>0</v>
      </c>
      <c r="L162" s="68">
        <v>473167.27</v>
      </c>
      <c r="M162" s="68">
        <v>531</v>
      </c>
      <c r="N162" s="68">
        <v>1145</v>
      </c>
      <c r="O162" s="68">
        <v>1570</v>
      </c>
      <c r="P162" s="68">
        <v>2245</v>
      </c>
      <c r="Q162" s="79">
        <f t="shared" si="55"/>
        <v>732064.99</v>
      </c>
      <c r="R162" s="80">
        <f>+Q162/C162</f>
        <v>1</v>
      </c>
      <c r="S162" s="81">
        <f t="shared" si="53"/>
        <v>0</v>
      </c>
      <c r="T162" s="82">
        <f t="shared" si="54"/>
        <v>0</v>
      </c>
      <c r="U162" s="79">
        <f t="shared" si="56"/>
        <v>0</v>
      </c>
      <c r="V162" s="80">
        <f>+U162/C162</f>
        <v>0</v>
      </c>
      <c r="W162" s="3"/>
      <c r="X162" s="3"/>
      <c r="Y162" s="3"/>
      <c r="Z162" s="3"/>
      <c r="AA162" s="3"/>
      <c r="AB162" s="3"/>
      <c r="AC162" s="3"/>
    </row>
    <row r="163" spans="1:29" s="7" customFormat="1" ht="27.75" customHeight="1">
      <c r="A163" s="51" t="s">
        <v>303</v>
      </c>
      <c r="B163" s="40" t="s">
        <v>304</v>
      </c>
      <c r="C163" s="54">
        <v>0</v>
      </c>
      <c r="D163" s="69">
        <v>0</v>
      </c>
      <c r="E163" s="69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79">
        <f t="shared" si="55"/>
        <v>0</v>
      </c>
      <c r="R163" s="80">
        <v>0</v>
      </c>
      <c r="S163" s="81">
        <f t="shared" si="53"/>
        <v>0</v>
      </c>
      <c r="T163" s="82" t="e">
        <f t="shared" si="54"/>
        <v>#DIV/0!</v>
      </c>
      <c r="U163" s="79">
        <f t="shared" si="56"/>
        <v>0</v>
      </c>
      <c r="V163" s="80">
        <v>0</v>
      </c>
      <c r="W163" s="3"/>
      <c r="X163" s="3"/>
      <c r="Y163" s="3"/>
      <c r="Z163" s="3"/>
      <c r="AA163" s="3"/>
      <c r="AB163" s="3"/>
      <c r="AC163" s="3"/>
    </row>
    <row r="164" spans="1:29" s="7" customFormat="1" ht="15">
      <c r="A164" s="45" t="s">
        <v>252</v>
      </c>
      <c r="B164" s="29" t="s">
        <v>293</v>
      </c>
      <c r="C164" s="53">
        <f>150000+25000-5660.59</f>
        <v>169339.41</v>
      </c>
      <c r="D164" s="69">
        <v>0</v>
      </c>
      <c r="E164" s="69">
        <v>0</v>
      </c>
      <c r="F164" s="68">
        <v>633.5</v>
      </c>
      <c r="G164" s="68">
        <v>0</v>
      </c>
      <c r="H164" s="68">
        <v>34498.48</v>
      </c>
      <c r="I164" s="68">
        <v>58466.68</v>
      </c>
      <c r="J164" s="68">
        <v>0</v>
      </c>
      <c r="K164" s="68">
        <v>0</v>
      </c>
      <c r="L164" s="68">
        <v>71590.84</v>
      </c>
      <c r="M164" s="68">
        <v>0</v>
      </c>
      <c r="N164" s="68">
        <v>1900</v>
      </c>
      <c r="O164" s="68">
        <v>2249.91</v>
      </c>
      <c r="P164" s="68">
        <v>0</v>
      </c>
      <c r="Q164" s="79">
        <f>SUM(E164:P164)</f>
        <v>169339.41</v>
      </c>
      <c r="R164" s="80">
        <f>+Q164/C164</f>
        <v>1</v>
      </c>
      <c r="S164" s="81">
        <f t="shared" si="53"/>
        <v>0</v>
      </c>
      <c r="T164" s="82">
        <f t="shared" si="54"/>
        <v>0</v>
      </c>
      <c r="U164" s="79">
        <f t="shared" si="56"/>
        <v>0</v>
      </c>
      <c r="V164" s="80">
        <f aca="true" t="shared" si="57" ref="V164:V173">+U164/C164</f>
        <v>0</v>
      </c>
      <c r="W164" s="3"/>
      <c r="X164" s="3"/>
      <c r="Y164" s="3"/>
      <c r="Z164" s="3"/>
      <c r="AA164" s="3"/>
      <c r="AB164" s="3"/>
      <c r="AC164" s="3"/>
    </row>
    <row r="165" spans="1:29" s="7" customFormat="1" ht="15">
      <c r="A165" s="24" t="s">
        <v>118</v>
      </c>
      <c r="B165" s="8" t="s">
        <v>119</v>
      </c>
      <c r="C165" s="117">
        <f>SUM(C166:C176)</f>
        <v>8647472.219999999</v>
      </c>
      <c r="D165" s="117">
        <f>+D166+D167+D169+D170+D171+D172+D173+D175</f>
        <v>68775000</v>
      </c>
      <c r="E165" s="117">
        <f>+E166+E167+E168+E169+E170+E171+E172+E173+E174+E175</f>
        <v>356535.7</v>
      </c>
      <c r="F165" s="117">
        <f>+F166+F167+F168+F169+F170+F171+F172+F173+F174+F175</f>
        <v>269631.64</v>
      </c>
      <c r="G165" s="117">
        <f>+G166+G167+G168+G169+G170+G171+G172+G173+G174+G175</f>
        <v>529460.8300000001</v>
      </c>
      <c r="H165" s="117">
        <f>+H166+H167+H168+H169+H170+H171+H172+H173+H174+H175</f>
        <v>69863451.12</v>
      </c>
      <c r="I165" s="117">
        <f aca="true" t="shared" si="58" ref="I165:N165">+I166+I167+I168+I169+I170+I171+I172+I173+I174+I176+I175</f>
        <v>1411544.39</v>
      </c>
      <c r="J165" s="117">
        <f t="shared" si="58"/>
        <v>1235501.85</v>
      </c>
      <c r="K165" s="117">
        <f t="shared" si="58"/>
        <v>310863.07999999996</v>
      </c>
      <c r="L165" s="117">
        <f t="shared" si="58"/>
        <v>1869819.7299999997</v>
      </c>
      <c r="M165" s="117">
        <f t="shared" si="58"/>
        <v>432306.62</v>
      </c>
      <c r="N165" s="117">
        <f t="shared" si="58"/>
        <v>2817</v>
      </c>
      <c r="O165" s="117">
        <f>+O166+O167+O168+O169+O170+O171+O172+O173+O174+O175+O176</f>
        <v>5316.18</v>
      </c>
      <c r="P165" s="117">
        <f>+P166+P167+P168+P169+P170+P171+P172+P173+P174+P175+P176</f>
        <v>1135224.08</v>
      </c>
      <c r="Q165" s="121">
        <f>SUM(E165:P165)</f>
        <v>77422472.22000001</v>
      </c>
      <c r="R165" s="122">
        <f>+Q165/(C165+D165)</f>
        <v>1.0000000000000002</v>
      </c>
      <c r="S165" s="121">
        <f t="shared" si="53"/>
        <v>-68775000.00000001</v>
      </c>
      <c r="T165" s="122">
        <f t="shared" si="54"/>
        <v>-7.953191204354054</v>
      </c>
      <c r="U165" s="121">
        <f>+C165+D165-Q165</f>
        <v>0</v>
      </c>
      <c r="V165" s="122">
        <f t="shared" si="57"/>
        <v>0</v>
      </c>
      <c r="W165" s="3"/>
      <c r="X165" s="3"/>
      <c r="Y165" s="3"/>
      <c r="Z165" s="3"/>
      <c r="AA165" s="3"/>
      <c r="AB165" s="3"/>
      <c r="AC165" s="3"/>
    </row>
    <row r="166" spans="1:29" s="7" customFormat="1" ht="15">
      <c r="A166" s="34" t="s">
        <v>202</v>
      </c>
      <c r="B166" s="28" t="s">
        <v>419</v>
      </c>
      <c r="C166" s="53">
        <f>650000+300000-69655.47</f>
        <v>880344.53</v>
      </c>
      <c r="D166" s="69">
        <v>0</v>
      </c>
      <c r="E166" s="69">
        <v>646.87</v>
      </c>
      <c r="F166" s="68">
        <v>10609.38</v>
      </c>
      <c r="G166" s="68">
        <v>0</v>
      </c>
      <c r="H166" s="68">
        <v>0</v>
      </c>
      <c r="I166" s="68">
        <v>139531.18</v>
      </c>
      <c r="J166" s="68">
        <v>727491.95</v>
      </c>
      <c r="K166" s="68">
        <v>0</v>
      </c>
      <c r="L166" s="68">
        <v>2065.15</v>
      </c>
      <c r="M166" s="68">
        <v>0</v>
      </c>
      <c r="N166" s="68">
        <v>0</v>
      </c>
      <c r="O166" s="68">
        <v>0</v>
      </c>
      <c r="P166" s="68">
        <v>0</v>
      </c>
      <c r="Q166" s="79">
        <f>SUM(E166:P166)</f>
        <v>880344.5299999999</v>
      </c>
      <c r="R166" s="80">
        <f>+Q166/C166</f>
        <v>0.9999999999999999</v>
      </c>
      <c r="S166" s="81">
        <f t="shared" si="53"/>
        <v>0</v>
      </c>
      <c r="T166" s="82">
        <f t="shared" si="54"/>
        <v>0</v>
      </c>
      <c r="U166" s="79">
        <f aca="true" t="shared" si="59" ref="U166:U174">+C166-Q166</f>
        <v>0</v>
      </c>
      <c r="V166" s="80">
        <f t="shared" si="57"/>
        <v>0</v>
      </c>
      <c r="W166" s="3"/>
      <c r="X166" s="3"/>
      <c r="Y166" s="3"/>
      <c r="Z166" s="3"/>
      <c r="AA166" s="3"/>
      <c r="AB166" s="3"/>
      <c r="AC166" s="3"/>
    </row>
    <row r="167" spans="1:29" s="7" customFormat="1" ht="33.75" customHeight="1">
      <c r="A167" s="47" t="s">
        <v>203</v>
      </c>
      <c r="B167" s="42" t="s">
        <v>407</v>
      </c>
      <c r="C167" s="53">
        <f>1570000+300000+800000+40468.78</f>
        <v>2710468.78</v>
      </c>
      <c r="D167" s="69">
        <v>0</v>
      </c>
      <c r="E167" s="68">
        <v>1870.83</v>
      </c>
      <c r="F167" s="68">
        <v>184506.89</v>
      </c>
      <c r="G167" s="68">
        <v>448142.08</v>
      </c>
      <c r="H167" s="68">
        <v>320953.55</v>
      </c>
      <c r="I167" s="68">
        <v>713967.2</v>
      </c>
      <c r="J167" s="68">
        <v>101348.66</v>
      </c>
      <c r="K167" s="68">
        <v>1298</v>
      </c>
      <c r="L167" s="68">
        <v>885286.57</v>
      </c>
      <c r="M167" s="68">
        <v>2650</v>
      </c>
      <c r="N167" s="68">
        <v>0</v>
      </c>
      <c r="O167" s="68">
        <v>1770</v>
      </c>
      <c r="P167" s="68">
        <v>48675</v>
      </c>
      <c r="Q167" s="79">
        <f aca="true" t="shared" si="60" ref="Q167:Q174">SUM(E167:P167)</f>
        <v>2710468.78</v>
      </c>
      <c r="R167" s="80" t="e">
        <f>+Q167/R175+Q175/D175C167</f>
        <v>#DIV/0!</v>
      </c>
      <c r="S167" s="81">
        <f t="shared" si="53"/>
        <v>0</v>
      </c>
      <c r="T167" s="82">
        <f t="shared" si="54"/>
        <v>0</v>
      </c>
      <c r="U167" s="79">
        <f t="shared" si="59"/>
        <v>0</v>
      </c>
      <c r="V167" s="80">
        <f t="shared" si="57"/>
        <v>0</v>
      </c>
      <c r="W167" s="3"/>
      <c r="X167" s="3"/>
      <c r="Y167" s="3"/>
      <c r="Z167" s="3"/>
      <c r="AA167" s="3"/>
      <c r="AB167" s="3"/>
      <c r="AC167" s="3"/>
    </row>
    <row r="168" spans="1:29" s="7" customFormat="1" ht="15">
      <c r="A168" s="77" t="s">
        <v>382</v>
      </c>
      <c r="B168" s="42" t="s">
        <v>383</v>
      </c>
      <c r="C168" s="53">
        <f>200000-198511</f>
        <v>1489</v>
      </c>
      <c r="D168" s="69">
        <v>0</v>
      </c>
      <c r="E168" s="68">
        <v>0</v>
      </c>
      <c r="F168" s="68">
        <v>0</v>
      </c>
      <c r="G168" s="68">
        <v>1295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194</v>
      </c>
      <c r="P168" s="68">
        <v>0</v>
      </c>
      <c r="Q168" s="79">
        <f t="shared" si="60"/>
        <v>1489</v>
      </c>
      <c r="R168" s="80">
        <f aca="true" t="shared" si="61" ref="R168:R173">+Q168/C168</f>
        <v>1</v>
      </c>
      <c r="S168" s="81">
        <f t="shared" si="53"/>
        <v>0</v>
      </c>
      <c r="T168" s="82">
        <f t="shared" si="54"/>
        <v>0</v>
      </c>
      <c r="U168" s="79">
        <f t="shared" si="59"/>
        <v>0</v>
      </c>
      <c r="V168" s="80">
        <f t="shared" si="57"/>
        <v>0</v>
      </c>
      <c r="W168" s="3"/>
      <c r="X168" s="3"/>
      <c r="Y168" s="3"/>
      <c r="Z168" s="3"/>
      <c r="AA168" s="3"/>
      <c r="AB168" s="3"/>
      <c r="AC168" s="3"/>
    </row>
    <row r="169" spans="1:29" s="7" customFormat="1" ht="30">
      <c r="A169" s="77" t="s">
        <v>253</v>
      </c>
      <c r="B169" s="42" t="s">
        <v>400</v>
      </c>
      <c r="C169" s="53">
        <f>500000+20000+350000-45555.1</f>
        <v>824444.9</v>
      </c>
      <c r="D169" s="69">
        <v>0</v>
      </c>
      <c r="E169" s="68">
        <v>354018</v>
      </c>
      <c r="F169" s="68">
        <v>0</v>
      </c>
      <c r="G169" s="68">
        <v>600</v>
      </c>
      <c r="H169" s="68">
        <v>73750</v>
      </c>
      <c r="I169" s="68">
        <v>88500</v>
      </c>
      <c r="J169" s="68">
        <v>650</v>
      </c>
      <c r="K169" s="68">
        <v>186705.9</v>
      </c>
      <c r="L169" s="68">
        <v>120000</v>
      </c>
      <c r="M169" s="68">
        <v>0</v>
      </c>
      <c r="N169" s="68">
        <v>0</v>
      </c>
      <c r="O169" s="68">
        <v>221</v>
      </c>
      <c r="P169" s="68">
        <v>0</v>
      </c>
      <c r="Q169" s="79">
        <f t="shared" si="60"/>
        <v>824444.9</v>
      </c>
      <c r="R169" s="80">
        <f t="shared" si="61"/>
        <v>1</v>
      </c>
      <c r="S169" s="81">
        <f t="shared" si="53"/>
        <v>0</v>
      </c>
      <c r="T169" s="82">
        <f t="shared" si="54"/>
        <v>0</v>
      </c>
      <c r="U169" s="79">
        <f t="shared" si="59"/>
        <v>0</v>
      </c>
      <c r="V169" s="80">
        <f t="shared" si="57"/>
        <v>0</v>
      </c>
      <c r="W169" s="3"/>
      <c r="X169" s="3"/>
      <c r="Y169" s="3"/>
      <c r="Z169" s="3"/>
      <c r="AA169" s="3"/>
      <c r="AB169" s="3"/>
      <c r="AC169" s="3"/>
    </row>
    <row r="170" spans="1:29" s="7" customFormat="1" ht="30">
      <c r="A170" s="47" t="s">
        <v>204</v>
      </c>
      <c r="B170" s="58" t="s">
        <v>120</v>
      </c>
      <c r="C170" s="53">
        <f>250000+610000+874788.46</f>
        <v>1734788.46</v>
      </c>
      <c r="D170" s="69">
        <v>0</v>
      </c>
      <c r="E170" s="69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859788.12</v>
      </c>
      <c r="M170" s="68">
        <v>0</v>
      </c>
      <c r="N170" s="68">
        <v>0</v>
      </c>
      <c r="O170" s="68">
        <v>0</v>
      </c>
      <c r="P170" s="68">
        <v>875000.34</v>
      </c>
      <c r="Q170" s="79">
        <f t="shared" si="60"/>
        <v>1734788.46</v>
      </c>
      <c r="R170" s="80">
        <f t="shared" si="61"/>
        <v>1</v>
      </c>
      <c r="S170" s="81">
        <f t="shared" si="53"/>
        <v>0</v>
      </c>
      <c r="T170" s="82">
        <f t="shared" si="54"/>
        <v>0</v>
      </c>
      <c r="U170" s="79">
        <f t="shared" si="59"/>
        <v>0</v>
      </c>
      <c r="V170" s="80">
        <f t="shared" si="57"/>
        <v>0</v>
      </c>
      <c r="W170" s="3"/>
      <c r="X170" s="3"/>
      <c r="Y170" s="3"/>
      <c r="Z170" s="3"/>
      <c r="AA170" s="3"/>
      <c r="AB170" s="3"/>
      <c r="AC170" s="3"/>
    </row>
    <row r="171" spans="1:29" s="7" customFormat="1" ht="15">
      <c r="A171" s="34" t="s">
        <v>205</v>
      </c>
      <c r="B171" s="28" t="s">
        <v>326</v>
      </c>
      <c r="C171" s="53">
        <f>300000+20000-14714</f>
        <v>305286</v>
      </c>
      <c r="D171" s="69">
        <v>0</v>
      </c>
      <c r="E171" s="69">
        <v>0</v>
      </c>
      <c r="F171" s="68">
        <v>736</v>
      </c>
      <c r="G171" s="68">
        <v>590</v>
      </c>
      <c r="H171" s="68">
        <v>38232</v>
      </c>
      <c r="I171" s="68">
        <v>27297.71</v>
      </c>
      <c r="J171" s="68">
        <v>152387.11</v>
      </c>
      <c r="K171" s="68">
        <v>86043.18</v>
      </c>
      <c r="L171" s="68">
        <v>0</v>
      </c>
      <c r="M171" s="68">
        <v>0</v>
      </c>
      <c r="N171" s="68">
        <v>0</v>
      </c>
      <c r="O171" s="68"/>
      <c r="P171" s="68">
        <v>0</v>
      </c>
      <c r="Q171" s="79">
        <f t="shared" si="60"/>
        <v>305286</v>
      </c>
      <c r="R171" s="80">
        <f t="shared" si="61"/>
        <v>1</v>
      </c>
      <c r="S171" s="81">
        <f t="shared" si="53"/>
        <v>0</v>
      </c>
      <c r="T171" s="82">
        <f t="shared" si="54"/>
        <v>0</v>
      </c>
      <c r="U171" s="79">
        <f t="shared" si="59"/>
        <v>0</v>
      </c>
      <c r="V171" s="80">
        <f t="shared" si="57"/>
        <v>0</v>
      </c>
      <c r="W171" s="3"/>
      <c r="X171" s="3"/>
      <c r="Y171" s="3"/>
      <c r="Z171" s="3"/>
      <c r="AA171" s="3"/>
      <c r="AB171" s="3"/>
      <c r="AC171" s="3"/>
    </row>
    <row r="172" spans="1:29" s="7" customFormat="1" ht="15">
      <c r="A172" s="34" t="s">
        <v>206</v>
      </c>
      <c r="B172" s="29" t="s">
        <v>121</v>
      </c>
      <c r="C172" s="53">
        <f>1500000+130000+214634.05</f>
        <v>1844634.05</v>
      </c>
      <c r="D172" s="69">
        <v>0</v>
      </c>
      <c r="E172" s="68">
        <v>0</v>
      </c>
      <c r="F172" s="68">
        <v>64850.75</v>
      </c>
      <c r="G172" s="68">
        <v>6757</v>
      </c>
      <c r="H172" s="68">
        <v>655515.57</v>
      </c>
      <c r="I172" s="68">
        <v>430861.3</v>
      </c>
      <c r="J172" s="68">
        <v>0</v>
      </c>
      <c r="K172" s="68">
        <v>36816</v>
      </c>
      <c r="L172" s="68">
        <v>2679.89</v>
      </c>
      <c r="M172" s="68">
        <v>429656.62</v>
      </c>
      <c r="N172" s="68">
        <v>2817</v>
      </c>
      <c r="O172" s="68">
        <v>3131.18</v>
      </c>
      <c r="P172" s="68">
        <v>211548.74</v>
      </c>
      <c r="Q172" s="79">
        <f t="shared" si="60"/>
        <v>1844634.0499999998</v>
      </c>
      <c r="R172" s="80">
        <f t="shared" si="61"/>
        <v>0.9999999999999999</v>
      </c>
      <c r="S172" s="81">
        <f t="shared" si="53"/>
        <v>0</v>
      </c>
      <c r="T172" s="82">
        <f t="shared" si="54"/>
        <v>0</v>
      </c>
      <c r="U172" s="79">
        <f t="shared" si="59"/>
        <v>0</v>
      </c>
      <c r="V172" s="80">
        <f t="shared" si="57"/>
        <v>0</v>
      </c>
      <c r="W172" s="3"/>
      <c r="X172" s="3"/>
      <c r="Y172" s="3"/>
      <c r="Z172" s="3"/>
      <c r="AA172" s="3"/>
      <c r="AB172" s="3"/>
      <c r="AC172" s="3"/>
    </row>
    <row r="173" spans="1:29" s="7" customFormat="1" ht="15">
      <c r="A173" s="34" t="s">
        <v>254</v>
      </c>
      <c r="B173" s="29" t="s">
        <v>305</v>
      </c>
      <c r="C173" s="53">
        <f>500000-153983.5</f>
        <v>346016.5</v>
      </c>
      <c r="D173" s="69">
        <v>0</v>
      </c>
      <c r="E173" s="69">
        <v>0</v>
      </c>
      <c r="F173" s="68">
        <v>8928.62</v>
      </c>
      <c r="G173" s="68">
        <v>72076.75</v>
      </c>
      <c r="H173" s="68">
        <v>0</v>
      </c>
      <c r="I173" s="68">
        <v>11387</v>
      </c>
      <c r="J173" s="68">
        <v>253624.13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79">
        <f t="shared" si="60"/>
        <v>346016.5</v>
      </c>
      <c r="R173" s="80">
        <f t="shared" si="61"/>
        <v>1</v>
      </c>
      <c r="S173" s="81">
        <f t="shared" si="53"/>
        <v>0</v>
      </c>
      <c r="T173" s="82">
        <f t="shared" si="54"/>
        <v>0</v>
      </c>
      <c r="U173" s="79">
        <f t="shared" si="59"/>
        <v>0</v>
      </c>
      <c r="V173" s="80">
        <f t="shared" si="57"/>
        <v>0</v>
      </c>
      <c r="W173" s="3"/>
      <c r="X173" s="3"/>
      <c r="Y173" s="3"/>
      <c r="Z173" s="3"/>
      <c r="AA173" s="3"/>
      <c r="AB173" s="3"/>
      <c r="AC173" s="3"/>
    </row>
    <row r="174" spans="1:29" s="7" customFormat="1" ht="15">
      <c r="A174" s="65" t="s">
        <v>358</v>
      </c>
      <c r="B174" s="29" t="s">
        <v>359</v>
      </c>
      <c r="C174" s="53">
        <v>0</v>
      </c>
      <c r="D174" s="69">
        <v>0</v>
      </c>
      <c r="E174" s="69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79">
        <f t="shared" si="60"/>
        <v>0</v>
      </c>
      <c r="R174" s="80">
        <v>0</v>
      </c>
      <c r="S174" s="81">
        <f t="shared" si="53"/>
        <v>0</v>
      </c>
      <c r="T174" s="82" t="e">
        <f t="shared" si="54"/>
        <v>#DIV/0!</v>
      </c>
      <c r="U174" s="79">
        <f t="shared" si="59"/>
        <v>0</v>
      </c>
      <c r="V174" s="80">
        <v>0</v>
      </c>
      <c r="W174" s="3"/>
      <c r="X174" s="3"/>
      <c r="Y174" s="3"/>
      <c r="Z174" s="3"/>
      <c r="AA174" s="3"/>
      <c r="AB174" s="3"/>
      <c r="AC174" s="3"/>
    </row>
    <row r="175" spans="1:29" s="7" customFormat="1" ht="15">
      <c r="A175" s="77" t="s">
        <v>401</v>
      </c>
      <c r="B175" s="188" t="s">
        <v>417</v>
      </c>
      <c r="C175" s="53">
        <v>0</v>
      </c>
      <c r="D175" s="69">
        <v>68775000</v>
      </c>
      <c r="E175" s="68">
        <v>0</v>
      </c>
      <c r="F175" s="68">
        <v>0</v>
      </c>
      <c r="G175" s="68">
        <v>0</v>
      </c>
      <c r="H175" s="68">
        <v>68775000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79">
        <f>SUM(E175:P175)</f>
        <v>68775000</v>
      </c>
      <c r="R175" s="80">
        <v>0</v>
      </c>
      <c r="S175" s="81">
        <f t="shared" si="53"/>
        <v>-68775000</v>
      </c>
      <c r="T175" s="82" t="e">
        <f t="shared" si="54"/>
        <v>#DIV/0!</v>
      </c>
      <c r="U175" s="79">
        <v>0</v>
      </c>
      <c r="V175" s="80">
        <f>+U175/D175</f>
        <v>0</v>
      </c>
      <c r="W175" s="3"/>
      <c r="X175" s="3"/>
      <c r="Y175" s="3"/>
      <c r="Z175" s="3"/>
      <c r="AA175" s="3"/>
      <c r="AB175" s="3"/>
      <c r="AC175" s="3"/>
    </row>
    <row r="176" spans="1:29" s="7" customFormat="1" ht="15">
      <c r="A176" s="131" t="s">
        <v>348</v>
      </c>
      <c r="B176" s="29" t="s">
        <v>347</v>
      </c>
      <c r="C176" s="53">
        <v>0</v>
      </c>
      <c r="D176" s="69">
        <v>0</v>
      </c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79">
        <f>SUM(E176:P176)</f>
        <v>0</v>
      </c>
      <c r="R176" s="80" t="e">
        <f>+Q176/C176</f>
        <v>#DIV/0!</v>
      </c>
      <c r="S176" s="81">
        <f t="shared" si="53"/>
        <v>0</v>
      </c>
      <c r="T176" s="82" t="e">
        <f t="shared" si="54"/>
        <v>#DIV/0!</v>
      </c>
      <c r="U176" s="79">
        <f>+C176-Q176</f>
        <v>0</v>
      </c>
      <c r="V176" s="80" t="e">
        <f>+U176/C176</f>
        <v>#DIV/0!</v>
      </c>
      <c r="W176" s="3"/>
      <c r="X176" s="3"/>
      <c r="Y176" s="3"/>
      <c r="Z176" s="3"/>
      <c r="AA176" s="3"/>
      <c r="AB176" s="3"/>
      <c r="AC176" s="3"/>
    </row>
    <row r="177" spans="1:29" s="7" customFormat="1" ht="15" hidden="1">
      <c r="A177" s="27" t="s">
        <v>122</v>
      </c>
      <c r="B177" s="6" t="s">
        <v>123</v>
      </c>
      <c r="C177" s="53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87"/>
      <c r="R177" s="87"/>
      <c r="S177" s="95"/>
      <c r="T177" s="95"/>
      <c r="U177" s="87"/>
      <c r="V177" s="87"/>
      <c r="W177" s="3"/>
      <c r="X177" s="3"/>
      <c r="Y177" s="3"/>
      <c r="Z177" s="3"/>
      <c r="AA177" s="3"/>
      <c r="AB177" s="3"/>
      <c r="AC177" s="3"/>
    </row>
    <row r="178" spans="1:22" s="3" customFormat="1" ht="15" hidden="1">
      <c r="A178" s="27" t="s">
        <v>124</v>
      </c>
      <c r="B178" s="6" t="s">
        <v>125</v>
      </c>
      <c r="C178" s="53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87"/>
      <c r="R178" s="87"/>
      <c r="S178" s="95"/>
      <c r="T178" s="95"/>
      <c r="U178" s="87"/>
      <c r="V178" s="87"/>
    </row>
    <row r="179" spans="1:22" s="3" customFormat="1" ht="15">
      <c r="A179" s="24" t="s">
        <v>126</v>
      </c>
      <c r="B179" s="8" t="s">
        <v>294</v>
      </c>
      <c r="C179" s="117">
        <f>+C181+C182+C183+C184+C190+C191+C192+C193</f>
        <v>6268640.1</v>
      </c>
      <c r="D179" s="117">
        <f>+D181+D183+D192</f>
        <v>0</v>
      </c>
      <c r="E179" s="117">
        <f>+E181+E182+E183+E184+E192+E193</f>
        <v>73000</v>
      </c>
      <c r="F179" s="117">
        <f>+F181+F182+F183+F184+F192+F193</f>
        <v>562880.78</v>
      </c>
      <c r="G179" s="117">
        <f>+G181+G182+G183+G184+G192+G193</f>
        <v>875224.75</v>
      </c>
      <c r="H179" s="117">
        <f>+H181+H182+H183+H184+H192+H193</f>
        <v>351560</v>
      </c>
      <c r="I179" s="117">
        <f aca="true" t="shared" si="62" ref="I179:N179">+I181+I182+I183+I184+I190+I191+I192+I193</f>
        <v>169548.33000000002</v>
      </c>
      <c r="J179" s="117">
        <f t="shared" si="62"/>
        <v>1080321.5</v>
      </c>
      <c r="K179" s="117">
        <f t="shared" si="62"/>
        <v>432589</v>
      </c>
      <c r="L179" s="117">
        <f t="shared" si="62"/>
        <v>410790</v>
      </c>
      <c r="M179" s="117">
        <f t="shared" si="62"/>
        <v>431000</v>
      </c>
      <c r="N179" s="117">
        <f t="shared" si="62"/>
        <v>985871.3300000001</v>
      </c>
      <c r="O179" s="117">
        <f>+O181+O182+O184+O183+O190+O191+O192+O193</f>
        <v>441593.13</v>
      </c>
      <c r="P179" s="117">
        <f>+P181+P182+P183+P184+P190+P191+P192+P193</f>
        <v>550511.28</v>
      </c>
      <c r="Q179" s="121">
        <f>SUM(E179:P180)</f>
        <v>6364890.100000001</v>
      </c>
      <c r="R179" s="122">
        <f aca="true" t="shared" si="63" ref="R179:R189">+Q179/C179</f>
        <v>1.0153542073662836</v>
      </c>
      <c r="S179" s="121">
        <f aca="true" t="shared" si="64" ref="S179:S189">+C179-Q179</f>
        <v>-96250.00000000093</v>
      </c>
      <c r="T179" s="122">
        <f aca="true" t="shared" si="65" ref="T179:T189">+S179/C179</f>
        <v>-0.015354207366283628</v>
      </c>
      <c r="U179" s="121">
        <f>+U181+U184+U192</f>
        <v>0</v>
      </c>
      <c r="V179" s="122">
        <f>+U179/C179</f>
        <v>0</v>
      </c>
    </row>
    <row r="180" spans="1:22" s="3" customFormat="1" ht="15" hidden="1">
      <c r="A180" s="27" t="s">
        <v>127</v>
      </c>
      <c r="B180" s="6" t="s">
        <v>128</v>
      </c>
      <c r="C180" s="69">
        <f>2140000-300000-4000-600-210000-150000-1400000-30000-45400</f>
        <v>0</v>
      </c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87">
        <f>SUM(D180:E180)</f>
        <v>0</v>
      </c>
      <c r="R180" s="80" t="e">
        <f t="shared" si="63"/>
        <v>#DIV/0!</v>
      </c>
      <c r="S180" s="81">
        <f t="shared" si="64"/>
        <v>0</v>
      </c>
      <c r="T180" s="82" t="e">
        <f t="shared" si="65"/>
        <v>#DIV/0!</v>
      </c>
      <c r="U180" s="87" t="e">
        <f>SUM(D180:T180)</f>
        <v>#DIV/0!</v>
      </c>
      <c r="V180" s="80" t="e">
        <f>+U180/#REF!</f>
        <v>#DIV/0!</v>
      </c>
    </row>
    <row r="181" spans="1:22" s="3" customFormat="1" ht="30">
      <c r="A181" s="47" t="s">
        <v>207</v>
      </c>
      <c r="B181" s="42" t="s">
        <v>129</v>
      </c>
      <c r="C181" s="71">
        <f>1024800-399531.25</f>
        <v>625268.75</v>
      </c>
      <c r="D181" s="69">
        <v>0</v>
      </c>
      <c r="E181" s="72">
        <v>0</v>
      </c>
      <c r="F181" s="69">
        <v>0</v>
      </c>
      <c r="G181" s="68">
        <v>0</v>
      </c>
      <c r="H181" s="68">
        <v>0</v>
      </c>
      <c r="I181" s="68">
        <v>0</v>
      </c>
      <c r="J181" s="68">
        <v>625268.75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79">
        <f aca="true" t="shared" si="66" ref="Q181:Q192">SUM(E181:P181)</f>
        <v>625268.75</v>
      </c>
      <c r="R181" s="80">
        <f t="shared" si="63"/>
        <v>1</v>
      </c>
      <c r="S181" s="81">
        <f t="shared" si="64"/>
        <v>0</v>
      </c>
      <c r="T181" s="82">
        <f t="shared" si="65"/>
        <v>0</v>
      </c>
      <c r="U181" s="79">
        <f aca="true" t="shared" si="67" ref="U181:U189">+C181-Q181</f>
        <v>0</v>
      </c>
      <c r="V181" s="80">
        <f aca="true" t="shared" si="68" ref="V181:V189">+U181/C181</f>
        <v>0</v>
      </c>
    </row>
    <row r="182" spans="1:22" s="3" customFormat="1" ht="30">
      <c r="A182" s="47" t="s">
        <v>317</v>
      </c>
      <c r="B182" s="42" t="s">
        <v>318</v>
      </c>
      <c r="C182" s="52">
        <f>500000+304387.33</f>
        <v>804387.3300000001</v>
      </c>
      <c r="D182" s="69">
        <v>0</v>
      </c>
      <c r="E182" s="72">
        <v>0</v>
      </c>
      <c r="F182" s="69">
        <v>0</v>
      </c>
      <c r="G182" s="68">
        <v>0</v>
      </c>
      <c r="H182" s="68">
        <v>18000</v>
      </c>
      <c r="I182" s="68">
        <v>25000</v>
      </c>
      <c r="J182" s="68">
        <v>0</v>
      </c>
      <c r="K182" s="68">
        <v>0</v>
      </c>
      <c r="L182" s="68">
        <v>100000</v>
      </c>
      <c r="M182" s="68">
        <v>150000</v>
      </c>
      <c r="N182" s="68">
        <v>0</v>
      </c>
      <c r="O182" s="68">
        <v>119455.63</v>
      </c>
      <c r="P182" s="68">
        <v>391931.7</v>
      </c>
      <c r="Q182" s="79">
        <f t="shared" si="66"/>
        <v>804387.3300000001</v>
      </c>
      <c r="R182" s="80">
        <f t="shared" si="63"/>
        <v>1</v>
      </c>
      <c r="S182" s="81">
        <f t="shared" si="64"/>
        <v>0</v>
      </c>
      <c r="T182" s="82">
        <f t="shared" si="65"/>
        <v>0</v>
      </c>
      <c r="U182" s="79">
        <f t="shared" si="67"/>
        <v>0</v>
      </c>
      <c r="V182" s="80">
        <f t="shared" si="68"/>
        <v>0</v>
      </c>
    </row>
    <row r="183" spans="1:22" s="3" customFormat="1" ht="15">
      <c r="A183" s="34" t="s">
        <v>280</v>
      </c>
      <c r="B183" s="28" t="s">
        <v>281</v>
      </c>
      <c r="C183" s="69">
        <f>1200000+50000</f>
        <v>1250000</v>
      </c>
      <c r="D183" s="69">
        <v>0</v>
      </c>
      <c r="E183" s="69">
        <v>0</v>
      </c>
      <c r="F183" s="69">
        <v>250000</v>
      </c>
      <c r="G183" s="68">
        <v>500000</v>
      </c>
      <c r="H183" s="68">
        <v>250000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250000</v>
      </c>
      <c r="O183" s="68"/>
      <c r="P183" s="68">
        <v>0</v>
      </c>
      <c r="Q183" s="79">
        <f t="shared" si="66"/>
        <v>1250000</v>
      </c>
      <c r="R183" s="80">
        <f t="shared" si="63"/>
        <v>1</v>
      </c>
      <c r="S183" s="81">
        <f t="shared" si="64"/>
        <v>0</v>
      </c>
      <c r="T183" s="82">
        <f t="shared" si="65"/>
        <v>0</v>
      </c>
      <c r="U183" s="79">
        <f t="shared" si="67"/>
        <v>0</v>
      </c>
      <c r="V183" s="80">
        <f t="shared" si="68"/>
        <v>0</v>
      </c>
    </row>
    <row r="184" spans="1:22" s="3" customFormat="1" ht="15">
      <c r="A184" s="34" t="s">
        <v>208</v>
      </c>
      <c r="B184" s="28" t="s">
        <v>327</v>
      </c>
      <c r="C184" s="69">
        <f>1020000+200000+450000+38984.02</f>
        <v>1708984.02</v>
      </c>
      <c r="D184" s="69">
        <v>0</v>
      </c>
      <c r="E184" s="69">
        <v>0</v>
      </c>
      <c r="F184" s="69">
        <v>239880.78</v>
      </c>
      <c r="G184" s="68">
        <v>302224.75</v>
      </c>
      <c r="H184" s="68">
        <v>10560</v>
      </c>
      <c r="I184" s="68">
        <v>56548.33</v>
      </c>
      <c r="J184" s="68">
        <v>352052.75</v>
      </c>
      <c r="K184" s="68">
        <v>226589</v>
      </c>
      <c r="L184" s="68">
        <v>8540</v>
      </c>
      <c r="M184" s="68">
        <v>0</v>
      </c>
      <c r="N184" s="68">
        <v>462871.33</v>
      </c>
      <c r="O184" s="68">
        <v>44137.5</v>
      </c>
      <c r="P184" s="68">
        <v>5579.58</v>
      </c>
      <c r="Q184" s="79">
        <f t="shared" si="66"/>
        <v>1708984.02</v>
      </c>
      <c r="R184" s="80">
        <f t="shared" si="63"/>
        <v>1</v>
      </c>
      <c r="S184" s="81">
        <f t="shared" si="64"/>
        <v>0</v>
      </c>
      <c r="T184" s="82">
        <f t="shared" si="65"/>
        <v>0</v>
      </c>
      <c r="U184" s="79">
        <f t="shared" si="67"/>
        <v>0</v>
      </c>
      <c r="V184" s="80">
        <f t="shared" si="68"/>
        <v>0</v>
      </c>
    </row>
    <row r="185" spans="1:22" s="3" customFormat="1" ht="15" hidden="1">
      <c r="A185" s="27" t="s">
        <v>130</v>
      </c>
      <c r="B185" s="6" t="s">
        <v>131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79">
        <f t="shared" si="66"/>
        <v>0</v>
      </c>
      <c r="R185" s="80" t="e">
        <f t="shared" si="63"/>
        <v>#DIV/0!</v>
      </c>
      <c r="S185" s="81">
        <f t="shared" si="64"/>
        <v>0</v>
      </c>
      <c r="T185" s="82" t="e">
        <f t="shared" si="65"/>
        <v>#DIV/0!</v>
      </c>
      <c r="U185" s="79">
        <f t="shared" si="67"/>
        <v>0</v>
      </c>
      <c r="V185" s="80" t="e">
        <f t="shared" si="68"/>
        <v>#DIV/0!</v>
      </c>
    </row>
    <row r="186" spans="1:22" s="3" customFormat="1" ht="15" hidden="1">
      <c r="A186" s="27" t="s">
        <v>132</v>
      </c>
      <c r="B186" s="6" t="s">
        <v>133</v>
      </c>
      <c r="C186" s="5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79">
        <f t="shared" si="66"/>
        <v>0</v>
      </c>
      <c r="R186" s="80" t="e">
        <f t="shared" si="63"/>
        <v>#DIV/0!</v>
      </c>
      <c r="S186" s="81">
        <f t="shared" si="64"/>
        <v>0</v>
      </c>
      <c r="T186" s="82" t="e">
        <f t="shared" si="65"/>
        <v>#DIV/0!</v>
      </c>
      <c r="U186" s="79">
        <f t="shared" si="67"/>
        <v>0</v>
      </c>
      <c r="V186" s="80" t="e">
        <f t="shared" si="68"/>
        <v>#DIV/0!</v>
      </c>
    </row>
    <row r="187" spans="1:29" s="3" customFormat="1" ht="15" hidden="1">
      <c r="A187" s="24" t="s">
        <v>134</v>
      </c>
      <c r="B187" s="8" t="s">
        <v>135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9">
        <f t="shared" si="66"/>
        <v>0</v>
      </c>
      <c r="R187" s="80" t="e">
        <f t="shared" si="63"/>
        <v>#DIV/0!</v>
      </c>
      <c r="S187" s="81">
        <f t="shared" si="64"/>
        <v>0</v>
      </c>
      <c r="T187" s="82" t="e">
        <f t="shared" si="65"/>
        <v>#DIV/0!</v>
      </c>
      <c r="U187" s="79">
        <f t="shared" si="67"/>
        <v>0</v>
      </c>
      <c r="V187" s="80" t="e">
        <f t="shared" si="68"/>
        <v>#DIV/0!</v>
      </c>
      <c r="W187" s="4"/>
      <c r="X187" s="4"/>
      <c r="Y187" s="4"/>
      <c r="Z187" s="4"/>
      <c r="AA187" s="4"/>
      <c r="AB187" s="4"/>
      <c r="AC187" s="4"/>
    </row>
    <row r="188" spans="1:29" s="3" customFormat="1" ht="15" hidden="1">
      <c r="A188" s="27" t="s">
        <v>136</v>
      </c>
      <c r="B188" s="6" t="s">
        <v>137</v>
      </c>
      <c r="C188" s="53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79">
        <f t="shared" si="66"/>
        <v>0</v>
      </c>
      <c r="R188" s="80" t="e">
        <f t="shared" si="63"/>
        <v>#DIV/0!</v>
      </c>
      <c r="S188" s="81">
        <f t="shared" si="64"/>
        <v>0</v>
      </c>
      <c r="T188" s="82" t="e">
        <f t="shared" si="65"/>
        <v>#DIV/0!</v>
      </c>
      <c r="U188" s="79">
        <f t="shared" si="67"/>
        <v>0</v>
      </c>
      <c r="V188" s="80" t="e">
        <f t="shared" si="68"/>
        <v>#DIV/0!</v>
      </c>
      <c r="W188" s="4"/>
      <c r="X188" s="4"/>
      <c r="Y188" s="4"/>
      <c r="Z188" s="4"/>
      <c r="AA188" s="4"/>
      <c r="AB188" s="4"/>
      <c r="AC188" s="4"/>
    </row>
    <row r="189" spans="1:29" s="3" customFormat="1" ht="45" hidden="1">
      <c r="A189" s="27" t="s">
        <v>138</v>
      </c>
      <c r="B189" s="15" t="s">
        <v>139</v>
      </c>
      <c r="C189" s="53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79">
        <f t="shared" si="66"/>
        <v>0</v>
      </c>
      <c r="R189" s="80" t="e">
        <f t="shared" si="63"/>
        <v>#DIV/0!</v>
      </c>
      <c r="S189" s="81">
        <f t="shared" si="64"/>
        <v>0</v>
      </c>
      <c r="T189" s="82" t="e">
        <f t="shared" si="65"/>
        <v>#DIV/0!</v>
      </c>
      <c r="U189" s="79">
        <f t="shared" si="67"/>
        <v>0</v>
      </c>
      <c r="V189" s="80" t="e">
        <f t="shared" si="68"/>
        <v>#DIV/0!</v>
      </c>
      <c r="W189" s="4"/>
      <c r="X189" s="4"/>
      <c r="Y189" s="4"/>
      <c r="Z189" s="4"/>
      <c r="AA189" s="4"/>
      <c r="AB189" s="4"/>
      <c r="AC189" s="4"/>
    </row>
    <row r="190" spans="1:29" s="3" customFormat="1" ht="15">
      <c r="A190" s="74" t="s">
        <v>367</v>
      </c>
      <c r="B190" s="15" t="s">
        <v>366</v>
      </c>
      <c r="C190" s="53">
        <v>0</v>
      </c>
      <c r="D190" s="69">
        <v>0</v>
      </c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  <c r="L190" s="69">
        <v>96250</v>
      </c>
      <c r="M190" s="69">
        <v>0</v>
      </c>
      <c r="N190" s="69">
        <v>0</v>
      </c>
      <c r="O190" s="69"/>
      <c r="P190" s="69">
        <v>0</v>
      </c>
      <c r="Q190" s="79"/>
      <c r="R190" s="80"/>
      <c r="S190" s="81"/>
      <c r="T190" s="82"/>
      <c r="U190" s="79"/>
      <c r="V190" s="80"/>
      <c r="W190" s="4"/>
      <c r="X190" s="4"/>
      <c r="Y190" s="4"/>
      <c r="Z190" s="4"/>
      <c r="AA190" s="4"/>
      <c r="AB190" s="4"/>
      <c r="AC190" s="4"/>
    </row>
    <row r="191" spans="1:29" s="3" customFormat="1" ht="30">
      <c r="A191" s="139" t="s">
        <v>420</v>
      </c>
      <c r="B191" s="140" t="s">
        <v>421</v>
      </c>
      <c r="C191" s="53">
        <f>1000000-35000-127000</f>
        <v>838000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88000</v>
      </c>
      <c r="J191" s="69">
        <v>103000</v>
      </c>
      <c r="K191" s="69">
        <v>96000</v>
      </c>
      <c r="L191" s="69">
        <v>106000</v>
      </c>
      <c r="M191" s="69">
        <v>106000</v>
      </c>
      <c r="N191" s="69">
        <v>113000</v>
      </c>
      <c r="O191" s="69">
        <v>113000</v>
      </c>
      <c r="P191" s="69">
        <v>113000</v>
      </c>
      <c r="Q191" s="79">
        <f>SUM(E191:P191)</f>
        <v>838000</v>
      </c>
      <c r="R191" s="80">
        <f aca="true" t="shared" si="69" ref="R191:R200">+Q191/C191</f>
        <v>1</v>
      </c>
      <c r="S191" s="81">
        <f aca="true" t="shared" si="70" ref="S191:S231">+C191-Q191</f>
        <v>0</v>
      </c>
      <c r="T191" s="82">
        <f aca="true" t="shared" si="71" ref="T191:T232">+S191/C191</f>
        <v>0</v>
      </c>
      <c r="U191" s="79">
        <f>+C191-Q191</f>
        <v>0</v>
      </c>
      <c r="V191" s="80">
        <f aca="true" t="shared" si="72" ref="V191:V200">+U191/C191</f>
        <v>0</v>
      </c>
      <c r="W191" s="4"/>
      <c r="X191" s="4"/>
      <c r="Y191" s="4"/>
      <c r="Z191" s="4"/>
      <c r="AA191" s="4"/>
      <c r="AB191" s="4"/>
      <c r="AC191" s="4"/>
    </row>
    <row r="192" spans="1:29" s="3" customFormat="1" ht="30">
      <c r="A192" s="50" t="s">
        <v>273</v>
      </c>
      <c r="B192" s="49" t="s">
        <v>272</v>
      </c>
      <c r="C192" s="53">
        <f>1000000-20000-3000</f>
        <v>977000</v>
      </c>
      <c r="D192" s="69">
        <v>0</v>
      </c>
      <c r="E192" s="69">
        <v>73000</v>
      </c>
      <c r="F192" s="69">
        <v>73000</v>
      </c>
      <c r="G192" s="69">
        <v>73000</v>
      </c>
      <c r="H192" s="69">
        <v>73000</v>
      </c>
      <c r="I192" s="69">
        <v>0</v>
      </c>
      <c r="J192" s="69">
        <v>0</v>
      </c>
      <c r="K192" s="69">
        <v>85000</v>
      </c>
      <c r="L192" s="69">
        <v>100000</v>
      </c>
      <c r="M192" s="69">
        <v>175000</v>
      </c>
      <c r="N192" s="69">
        <v>120000</v>
      </c>
      <c r="O192" s="69">
        <v>165000</v>
      </c>
      <c r="P192" s="69">
        <v>40000</v>
      </c>
      <c r="Q192" s="79">
        <f t="shared" si="66"/>
        <v>977000</v>
      </c>
      <c r="R192" s="80">
        <f t="shared" si="69"/>
        <v>1</v>
      </c>
      <c r="S192" s="81">
        <f t="shared" si="70"/>
        <v>0</v>
      </c>
      <c r="T192" s="82">
        <f t="shared" si="71"/>
        <v>0</v>
      </c>
      <c r="U192" s="79">
        <f>+C192-Q192</f>
        <v>0</v>
      </c>
      <c r="V192" s="80">
        <f t="shared" si="72"/>
        <v>0</v>
      </c>
      <c r="W192" s="4"/>
      <c r="X192" s="4"/>
      <c r="Y192" s="4"/>
      <c r="Z192" s="4"/>
      <c r="AA192" s="4"/>
      <c r="AB192" s="4"/>
      <c r="AC192" s="4"/>
    </row>
    <row r="193" spans="1:29" s="3" customFormat="1" ht="30">
      <c r="A193" s="97" t="s">
        <v>392</v>
      </c>
      <c r="B193" s="49" t="s">
        <v>393</v>
      </c>
      <c r="C193" s="53">
        <f>500000-450000+20000-5000</f>
        <v>65000</v>
      </c>
      <c r="D193" s="69">
        <v>0</v>
      </c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25000</v>
      </c>
      <c r="L193" s="69">
        <v>0</v>
      </c>
      <c r="M193" s="69">
        <v>0</v>
      </c>
      <c r="N193" s="69">
        <v>40000</v>
      </c>
      <c r="O193" s="69">
        <v>0</v>
      </c>
      <c r="P193" s="69">
        <v>0</v>
      </c>
      <c r="Q193" s="79">
        <f>SUM(E193:P193)</f>
        <v>65000</v>
      </c>
      <c r="R193" s="80">
        <f t="shared" si="69"/>
        <v>1</v>
      </c>
      <c r="S193" s="81">
        <f t="shared" si="70"/>
        <v>0</v>
      </c>
      <c r="T193" s="82">
        <f t="shared" si="71"/>
        <v>0</v>
      </c>
      <c r="U193" s="79">
        <f>+C193-Q193</f>
        <v>0</v>
      </c>
      <c r="V193" s="80">
        <f t="shared" si="72"/>
        <v>0</v>
      </c>
      <c r="W193" s="4"/>
      <c r="X193" s="4"/>
      <c r="Y193" s="4"/>
      <c r="Z193" s="4"/>
      <c r="AA193" s="4"/>
      <c r="AB193" s="4"/>
      <c r="AC193" s="4"/>
    </row>
    <row r="194" spans="1:29" s="3" customFormat="1" ht="30">
      <c r="A194" s="56" t="s">
        <v>134</v>
      </c>
      <c r="B194" s="57" t="s">
        <v>141</v>
      </c>
      <c r="C194" s="117">
        <f>+C195+C198</f>
        <v>20076.06</v>
      </c>
      <c r="D194" s="117">
        <f>+D195+D198</f>
        <v>0</v>
      </c>
      <c r="E194" s="117">
        <f>+E198</f>
        <v>0</v>
      </c>
      <c r="F194" s="117">
        <f aca="true" t="shared" si="73" ref="F194:N194">+F195+F198</f>
        <v>0</v>
      </c>
      <c r="G194" s="117">
        <f t="shared" si="73"/>
        <v>20076.06</v>
      </c>
      <c r="H194" s="117">
        <f t="shared" si="73"/>
        <v>0</v>
      </c>
      <c r="I194" s="117">
        <f t="shared" si="73"/>
        <v>0</v>
      </c>
      <c r="J194" s="117">
        <f t="shared" si="73"/>
        <v>0</v>
      </c>
      <c r="K194" s="117">
        <f t="shared" si="73"/>
        <v>0</v>
      </c>
      <c r="L194" s="117">
        <f t="shared" si="73"/>
        <v>0</v>
      </c>
      <c r="M194" s="117">
        <f t="shared" si="73"/>
        <v>0</v>
      </c>
      <c r="N194" s="117">
        <f t="shared" si="73"/>
        <v>0</v>
      </c>
      <c r="O194" s="117">
        <f>+O195+O198</f>
        <v>0</v>
      </c>
      <c r="P194" s="117">
        <f>+P195+P198</f>
        <v>0</v>
      </c>
      <c r="Q194" s="121">
        <f aca="true" t="shared" si="74" ref="Q194:Q199">SUM(E194:P194)</f>
        <v>20076.06</v>
      </c>
      <c r="R194" s="122">
        <f t="shared" si="69"/>
        <v>1</v>
      </c>
      <c r="S194" s="121">
        <f t="shared" si="70"/>
        <v>0</v>
      </c>
      <c r="T194" s="122">
        <f t="shared" si="71"/>
        <v>0</v>
      </c>
      <c r="U194" s="121">
        <f>+U195+U198</f>
        <v>0</v>
      </c>
      <c r="V194" s="122">
        <f t="shared" si="72"/>
        <v>0</v>
      </c>
      <c r="W194" s="4"/>
      <c r="X194" s="4"/>
      <c r="Y194" s="4"/>
      <c r="Z194" s="4"/>
      <c r="AA194" s="4"/>
      <c r="AB194" s="4"/>
      <c r="AC194" s="4"/>
    </row>
    <row r="195" spans="1:29" s="3" customFormat="1" ht="30">
      <c r="A195" s="47" t="s">
        <v>209</v>
      </c>
      <c r="B195" s="42" t="s">
        <v>306</v>
      </c>
      <c r="C195" s="53">
        <v>0</v>
      </c>
      <c r="D195" s="69">
        <v>0</v>
      </c>
      <c r="E195" s="69">
        <v>0</v>
      </c>
      <c r="F195" s="73">
        <v>0</v>
      </c>
      <c r="G195" s="73">
        <v>0</v>
      </c>
      <c r="H195" s="73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79">
        <f t="shared" si="74"/>
        <v>0</v>
      </c>
      <c r="R195" s="80" t="e">
        <f t="shared" si="69"/>
        <v>#DIV/0!</v>
      </c>
      <c r="S195" s="81">
        <f t="shared" si="70"/>
        <v>0</v>
      </c>
      <c r="T195" s="82" t="e">
        <f t="shared" si="71"/>
        <v>#DIV/0!</v>
      </c>
      <c r="U195" s="79">
        <f>+C195-Q195</f>
        <v>0</v>
      </c>
      <c r="V195" s="80" t="e">
        <f t="shared" si="72"/>
        <v>#DIV/0!</v>
      </c>
      <c r="W195" s="4"/>
      <c r="X195" s="4"/>
      <c r="Y195" s="4"/>
      <c r="Z195" s="4"/>
      <c r="AA195" s="4"/>
      <c r="AB195" s="4"/>
      <c r="AC195" s="4"/>
    </row>
    <row r="196" spans="1:29" s="3" customFormat="1" ht="15" hidden="1">
      <c r="A196" s="56"/>
      <c r="B196" s="8"/>
      <c r="C196" s="70"/>
      <c r="D196" s="70"/>
      <c r="E196" s="69"/>
      <c r="F196" s="70"/>
      <c r="G196" s="70"/>
      <c r="H196" s="70"/>
      <c r="I196" s="68"/>
      <c r="J196" s="68"/>
      <c r="K196" s="68"/>
      <c r="L196" s="68"/>
      <c r="M196" s="68"/>
      <c r="N196" s="68"/>
      <c r="O196" s="68"/>
      <c r="P196" s="68"/>
      <c r="Q196" s="79">
        <f t="shared" si="74"/>
        <v>0</v>
      </c>
      <c r="R196" s="80" t="e">
        <f t="shared" si="69"/>
        <v>#DIV/0!</v>
      </c>
      <c r="S196" s="81">
        <f t="shared" si="70"/>
        <v>0</v>
      </c>
      <c r="T196" s="82" t="e">
        <f t="shared" si="71"/>
        <v>#DIV/0!</v>
      </c>
      <c r="U196" s="79">
        <f>+C196-Q196</f>
        <v>0</v>
      </c>
      <c r="V196" s="80" t="e">
        <f t="shared" si="72"/>
        <v>#DIV/0!</v>
      </c>
      <c r="W196" s="4"/>
      <c r="X196" s="4"/>
      <c r="Y196" s="4"/>
      <c r="Z196" s="4"/>
      <c r="AA196" s="4"/>
      <c r="AB196" s="4"/>
      <c r="AC196" s="4"/>
    </row>
    <row r="197" spans="1:29" s="3" customFormat="1" ht="15" hidden="1">
      <c r="A197" s="50"/>
      <c r="B197" s="15"/>
      <c r="C197" s="53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79">
        <f t="shared" si="74"/>
        <v>0</v>
      </c>
      <c r="R197" s="80" t="e">
        <f t="shared" si="69"/>
        <v>#DIV/0!</v>
      </c>
      <c r="S197" s="81">
        <f t="shared" si="70"/>
        <v>0</v>
      </c>
      <c r="T197" s="82" t="e">
        <f t="shared" si="71"/>
        <v>#DIV/0!</v>
      </c>
      <c r="U197" s="79">
        <f>+C197-Q197</f>
        <v>0</v>
      </c>
      <c r="V197" s="80" t="e">
        <f t="shared" si="72"/>
        <v>#DIV/0!</v>
      </c>
      <c r="W197" s="4"/>
      <c r="X197" s="4"/>
      <c r="Y197" s="4"/>
      <c r="Z197" s="4"/>
      <c r="AA197" s="4"/>
      <c r="AB197" s="4"/>
      <c r="AC197" s="4"/>
    </row>
    <row r="198" spans="1:29" s="3" customFormat="1" ht="30">
      <c r="A198" s="47" t="s">
        <v>259</v>
      </c>
      <c r="B198" s="42" t="s">
        <v>260</v>
      </c>
      <c r="C198" s="53">
        <f>40000-19923.94</f>
        <v>20076.06</v>
      </c>
      <c r="D198" s="69">
        <v>0</v>
      </c>
      <c r="E198" s="69">
        <v>0</v>
      </c>
      <c r="F198" s="73">
        <v>0</v>
      </c>
      <c r="G198" s="73">
        <v>20076.06</v>
      </c>
      <c r="H198" s="73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79">
        <f t="shared" si="74"/>
        <v>20076.06</v>
      </c>
      <c r="R198" s="80">
        <f t="shared" si="69"/>
        <v>1</v>
      </c>
      <c r="S198" s="81">
        <f t="shared" si="70"/>
        <v>0</v>
      </c>
      <c r="T198" s="82">
        <f t="shared" si="71"/>
        <v>0</v>
      </c>
      <c r="U198" s="79">
        <f>+C198-Q198</f>
        <v>0</v>
      </c>
      <c r="V198" s="80">
        <f t="shared" si="72"/>
        <v>0</v>
      </c>
      <c r="W198" s="4"/>
      <c r="X198" s="4"/>
      <c r="Y198" s="4"/>
      <c r="Z198" s="4"/>
      <c r="AA198" s="4"/>
      <c r="AB198" s="4"/>
      <c r="AC198" s="4"/>
    </row>
    <row r="199" spans="1:29" s="3" customFormat="1" ht="30">
      <c r="A199" s="56" t="s">
        <v>140</v>
      </c>
      <c r="B199" s="43" t="s">
        <v>295</v>
      </c>
      <c r="C199" s="117">
        <f>+C200</f>
        <v>345400</v>
      </c>
      <c r="D199" s="117">
        <f aca="true" t="shared" si="75" ref="D199:N199">+D200</f>
        <v>0</v>
      </c>
      <c r="E199" s="117">
        <f t="shared" si="75"/>
        <v>29225</v>
      </c>
      <c r="F199" s="117">
        <f t="shared" si="75"/>
        <v>29150</v>
      </c>
      <c r="G199" s="117">
        <f t="shared" si="75"/>
        <v>29050</v>
      </c>
      <c r="H199" s="117">
        <f t="shared" si="75"/>
        <v>28800</v>
      </c>
      <c r="I199" s="117">
        <f t="shared" si="75"/>
        <v>28750</v>
      </c>
      <c r="J199" s="117">
        <f t="shared" si="75"/>
        <v>28750</v>
      </c>
      <c r="K199" s="117">
        <f t="shared" si="75"/>
        <v>28750</v>
      </c>
      <c r="L199" s="117">
        <f t="shared" si="75"/>
        <v>28750</v>
      </c>
      <c r="M199" s="117">
        <f t="shared" si="75"/>
        <v>28600</v>
      </c>
      <c r="N199" s="117">
        <f t="shared" si="75"/>
        <v>28425</v>
      </c>
      <c r="O199" s="117">
        <f>+O200</f>
        <v>28550</v>
      </c>
      <c r="P199" s="117">
        <f>+P200</f>
        <v>28600</v>
      </c>
      <c r="Q199" s="121">
        <f t="shared" si="74"/>
        <v>345400</v>
      </c>
      <c r="R199" s="122">
        <f t="shared" si="69"/>
        <v>1</v>
      </c>
      <c r="S199" s="121">
        <f t="shared" si="70"/>
        <v>0</v>
      </c>
      <c r="T199" s="122">
        <f t="shared" si="71"/>
        <v>0</v>
      </c>
      <c r="U199" s="121">
        <f>+U200</f>
        <v>0</v>
      </c>
      <c r="V199" s="122">
        <f t="shared" si="72"/>
        <v>0</v>
      </c>
      <c r="W199" s="4"/>
      <c r="X199" s="4"/>
      <c r="Y199" s="4"/>
      <c r="Z199" s="4"/>
      <c r="AA199" s="4"/>
      <c r="AB199" s="4"/>
      <c r="AC199" s="4"/>
    </row>
    <row r="200" spans="1:29" s="3" customFormat="1" ht="45">
      <c r="A200" s="61" t="s">
        <v>335</v>
      </c>
      <c r="B200" s="58" t="s">
        <v>336</v>
      </c>
      <c r="C200" s="53">
        <f>150000+50000+100000+45400</f>
        <v>345400</v>
      </c>
      <c r="D200" s="69">
        <v>0</v>
      </c>
      <c r="E200" s="69">
        <v>29225</v>
      </c>
      <c r="F200" s="73">
        <v>29150</v>
      </c>
      <c r="G200" s="73">
        <v>29050</v>
      </c>
      <c r="H200" s="73">
        <v>28800</v>
      </c>
      <c r="I200" s="68">
        <v>28750</v>
      </c>
      <c r="J200" s="68">
        <v>28750</v>
      </c>
      <c r="K200" s="68">
        <v>28750</v>
      </c>
      <c r="L200" s="68">
        <v>28750</v>
      </c>
      <c r="M200" s="68">
        <v>28600</v>
      </c>
      <c r="N200" s="68">
        <v>28425</v>
      </c>
      <c r="O200" s="68">
        <v>28550</v>
      </c>
      <c r="P200" s="68">
        <v>28600</v>
      </c>
      <c r="Q200" s="79">
        <f>SUM(E200:P200)</f>
        <v>345400</v>
      </c>
      <c r="R200" s="80">
        <f t="shared" si="69"/>
        <v>1</v>
      </c>
      <c r="S200" s="81">
        <f t="shared" si="70"/>
        <v>0</v>
      </c>
      <c r="T200" s="82">
        <f t="shared" si="71"/>
        <v>0</v>
      </c>
      <c r="U200" s="79">
        <f>+C200-Q200</f>
        <v>0</v>
      </c>
      <c r="V200" s="80">
        <f t="shared" si="72"/>
        <v>0</v>
      </c>
      <c r="W200" s="4"/>
      <c r="X200" s="4"/>
      <c r="Y200" s="4"/>
      <c r="Z200" s="4"/>
      <c r="AA200" s="4"/>
      <c r="AB200" s="4"/>
      <c r="AC200" s="4"/>
    </row>
    <row r="201" spans="1:29" s="3" customFormat="1" ht="15">
      <c r="A201" s="24" t="s">
        <v>142</v>
      </c>
      <c r="B201" s="8" t="s">
        <v>143</v>
      </c>
      <c r="C201" s="117">
        <f>+C202+C203+C204+C205+C206+C207+C209+C211+C212+C213+C214+C215+C217+C218+C219+C220+C221+C222+C223+C224+C225</f>
        <v>9297142.629999999</v>
      </c>
      <c r="D201" s="117">
        <f>+D202+D203+D204+D205+D207+D208+D209+D210+D211+D212+D213+D214+D215+D216+D217+D218+D219+D220+D221+D222+D223+D224+D225</f>
        <v>201673077.73000002</v>
      </c>
      <c r="E201" s="117">
        <f aca="true" t="shared" si="76" ref="E201:K201">+E202+E203+E204+E205+E206+E207+E209+E211+E212+E213+E214+E215+E217+E218+E219+E220+E221+E222+E223+E224+E225</f>
        <v>0</v>
      </c>
      <c r="F201" s="117">
        <f t="shared" si="76"/>
        <v>150756.8</v>
      </c>
      <c r="G201" s="117">
        <f t="shared" si="76"/>
        <v>387118.51</v>
      </c>
      <c r="H201" s="117">
        <f t="shared" si="76"/>
        <v>441205.6</v>
      </c>
      <c r="I201" s="117">
        <f t="shared" si="76"/>
        <v>1164489.53</v>
      </c>
      <c r="J201" s="117">
        <f t="shared" si="76"/>
        <v>384100</v>
      </c>
      <c r="K201" s="117">
        <f t="shared" si="76"/>
        <v>107417729.46</v>
      </c>
      <c r="L201" s="117">
        <f>+L202+L204+L205+L206+L207+L209+L211+L212+L213+L215+L217+L218+L220+L221+L222+L223+L224+L225</f>
        <v>5129221.26</v>
      </c>
      <c r="M201" s="117">
        <f>+M202+M204+M205+M206+M207+M209+M211+M212+M213+M215+M217+M218+M220+M221+M222+M223+M224+M225</f>
        <v>32450</v>
      </c>
      <c r="N201" s="117">
        <f>+N202+N203+N204+N205+N206+N207+N209+N211+N212+N213+N214+N215+N217+N218+N219+N220+N221+N222+N223+N224+N225</f>
        <v>909999.89</v>
      </c>
      <c r="O201" s="117">
        <f>+O202+O203+O204+O205+O206+O207+O208+O209+O210+O211+O212+O213+O214+O215+O216+O217+O218+O219+O220+O221+O222+O223+O224+O225</f>
        <v>1800</v>
      </c>
      <c r="P201" s="117">
        <f>+P202+P203+P204+P205+P206+P207+P208+P209+P210+P211+P212+P213+P214+P215+P216+P217+P218+P219+P220+P221+P222+P223+P224+P225</f>
        <v>567089.47</v>
      </c>
      <c r="Q201" s="121">
        <f>SUM(E201:P201)</f>
        <v>116585960.52</v>
      </c>
      <c r="R201" s="122">
        <f>+Q201/(C201+D201)</f>
        <v>0.5526180914114678</v>
      </c>
      <c r="S201" s="121">
        <f t="shared" si="70"/>
        <v>-107288817.89</v>
      </c>
      <c r="T201" s="122">
        <f t="shared" si="71"/>
        <v>-11.539977621059688</v>
      </c>
      <c r="U201" s="121">
        <f>+C201+D201-Q201</f>
        <v>94384259.84000002</v>
      </c>
      <c r="V201" s="122">
        <f>+U201/(C201+D201)</f>
        <v>0.44738190858853216</v>
      </c>
      <c r="W201" s="4"/>
      <c r="X201" s="4"/>
      <c r="Y201" s="4"/>
      <c r="Z201" s="4"/>
      <c r="AA201" s="4"/>
      <c r="AB201" s="4"/>
      <c r="AC201" s="4"/>
    </row>
    <row r="202" spans="1:22" s="10" customFormat="1" ht="15">
      <c r="A202" s="36" t="s">
        <v>210</v>
      </c>
      <c r="B202" s="29" t="s">
        <v>379</v>
      </c>
      <c r="C202" s="69">
        <f>1500000-500000+88908.53</f>
        <v>1088908.53</v>
      </c>
      <c r="D202" s="69">
        <v>0</v>
      </c>
      <c r="E202" s="69">
        <v>0</v>
      </c>
      <c r="F202" s="68">
        <v>150756.8</v>
      </c>
      <c r="G202" s="68">
        <v>0</v>
      </c>
      <c r="H202" s="68">
        <v>3495</v>
      </c>
      <c r="I202" s="68">
        <v>0</v>
      </c>
      <c r="J202" s="68">
        <v>0</v>
      </c>
      <c r="K202" s="68">
        <v>0</v>
      </c>
      <c r="L202" s="68">
        <v>335117.26</v>
      </c>
      <c r="M202" s="68">
        <v>32450</v>
      </c>
      <c r="N202" s="68"/>
      <c r="O202" s="68">
        <v>0</v>
      </c>
      <c r="P202" s="68">
        <v>567089.47</v>
      </c>
      <c r="Q202" s="79">
        <f aca="true" t="shared" si="77" ref="Q202:Q224">SUM(E202:P202)</f>
        <v>1088908.53</v>
      </c>
      <c r="R202" s="80">
        <f>+Q202/C202</f>
        <v>1</v>
      </c>
      <c r="S202" s="81">
        <f t="shared" si="70"/>
        <v>0</v>
      </c>
      <c r="T202" s="82">
        <f t="shared" si="71"/>
        <v>0</v>
      </c>
      <c r="U202" s="79">
        <f aca="true" t="shared" si="78" ref="U202:U207">+C202-Q202</f>
        <v>0</v>
      </c>
      <c r="V202" s="80">
        <f>+U202/C202</f>
        <v>0</v>
      </c>
    </row>
    <row r="203" spans="1:22" s="10" customFormat="1" ht="30">
      <c r="A203" s="55" t="s">
        <v>211</v>
      </c>
      <c r="B203" s="40" t="s">
        <v>144</v>
      </c>
      <c r="C203" s="69">
        <f>1500000-100000-1300000+810000</f>
        <v>910000</v>
      </c>
      <c r="D203" s="69">
        <v>0</v>
      </c>
      <c r="E203" s="69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909999.89</v>
      </c>
      <c r="O203" s="68">
        <v>0</v>
      </c>
      <c r="P203" s="68">
        <v>0</v>
      </c>
      <c r="Q203" s="79">
        <f t="shared" si="77"/>
        <v>909999.89</v>
      </c>
      <c r="R203" s="80">
        <f>+Q203/C203</f>
        <v>0.9999998791208792</v>
      </c>
      <c r="S203" s="81">
        <f t="shared" si="70"/>
        <v>0.10999999998603016</v>
      </c>
      <c r="T203" s="82">
        <f t="shared" si="71"/>
        <v>1.208791208637694E-07</v>
      </c>
      <c r="U203" s="79">
        <f t="shared" si="78"/>
        <v>0.10999999998603016</v>
      </c>
      <c r="V203" s="80">
        <f>+U203/C203</f>
        <v>1.208791208637694E-07</v>
      </c>
    </row>
    <row r="204" spans="1:22" s="10" customFormat="1" ht="30">
      <c r="A204" s="63" t="s">
        <v>240</v>
      </c>
      <c r="B204" s="62" t="s">
        <v>337</v>
      </c>
      <c r="C204" s="53">
        <f>62000000+200000-60000000-42185</f>
        <v>2157815</v>
      </c>
      <c r="D204" s="69">
        <v>0</v>
      </c>
      <c r="E204" s="68">
        <v>0</v>
      </c>
      <c r="F204" s="68">
        <v>0</v>
      </c>
      <c r="G204" s="68">
        <v>40002</v>
      </c>
      <c r="H204" s="68">
        <v>0</v>
      </c>
      <c r="I204" s="68">
        <v>840050</v>
      </c>
      <c r="J204" s="68">
        <v>383500</v>
      </c>
      <c r="K204" s="68">
        <v>0</v>
      </c>
      <c r="L204" s="68">
        <v>894263</v>
      </c>
      <c r="M204" s="68">
        <v>0</v>
      </c>
      <c r="N204" s="68">
        <v>0</v>
      </c>
      <c r="O204" s="68">
        <v>0</v>
      </c>
      <c r="P204" s="68">
        <v>0</v>
      </c>
      <c r="Q204" s="79">
        <f t="shared" si="77"/>
        <v>2157815</v>
      </c>
      <c r="R204" s="80">
        <f>+Q204/C204</f>
        <v>1</v>
      </c>
      <c r="S204" s="81">
        <f t="shared" si="70"/>
        <v>0</v>
      </c>
      <c r="T204" s="82">
        <f t="shared" si="71"/>
        <v>0</v>
      </c>
      <c r="U204" s="79">
        <f t="shared" si="78"/>
        <v>0</v>
      </c>
      <c r="V204" s="80">
        <f>+U204/C204</f>
        <v>0</v>
      </c>
    </row>
    <row r="205" spans="1:22" s="16" customFormat="1" ht="15">
      <c r="A205" s="36" t="s">
        <v>230</v>
      </c>
      <c r="B205" s="9" t="s">
        <v>231</v>
      </c>
      <c r="C205" s="53">
        <f>500000+900000-52883.01</f>
        <v>1347116.99</v>
      </c>
      <c r="D205" s="69">
        <v>0</v>
      </c>
      <c r="E205" s="69">
        <v>0</v>
      </c>
      <c r="F205" s="68">
        <v>0</v>
      </c>
      <c r="G205" s="68">
        <v>0</v>
      </c>
      <c r="H205" s="68">
        <v>156000</v>
      </c>
      <c r="I205" s="68">
        <v>324439.53</v>
      </c>
      <c r="J205" s="68">
        <v>0</v>
      </c>
      <c r="K205" s="68">
        <v>128911.46</v>
      </c>
      <c r="L205" s="68">
        <v>735966</v>
      </c>
      <c r="M205" s="68">
        <v>0</v>
      </c>
      <c r="N205" s="68">
        <v>0</v>
      </c>
      <c r="O205" s="68">
        <v>1800</v>
      </c>
      <c r="P205" s="68">
        <v>0</v>
      </c>
      <c r="Q205" s="79">
        <f t="shared" si="77"/>
        <v>1347116.99</v>
      </c>
      <c r="R205" s="80">
        <f>+Q205/C205</f>
        <v>1</v>
      </c>
      <c r="S205" s="81">
        <f t="shared" si="70"/>
        <v>0</v>
      </c>
      <c r="T205" s="82">
        <f t="shared" si="71"/>
        <v>0</v>
      </c>
      <c r="U205" s="79">
        <f t="shared" si="78"/>
        <v>0</v>
      </c>
      <c r="V205" s="80">
        <f>+U205/C205</f>
        <v>0</v>
      </c>
    </row>
    <row r="206" spans="1:22" s="16" customFormat="1" ht="30">
      <c r="A206" s="64" t="s">
        <v>275</v>
      </c>
      <c r="B206" s="67" t="s">
        <v>360</v>
      </c>
      <c r="C206" s="53">
        <v>0</v>
      </c>
      <c r="D206" s="69">
        <v>0</v>
      </c>
      <c r="E206" s="69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79">
        <f t="shared" si="77"/>
        <v>0</v>
      </c>
      <c r="R206" s="80">
        <v>0</v>
      </c>
      <c r="S206" s="81">
        <f t="shared" si="70"/>
        <v>0</v>
      </c>
      <c r="T206" s="82" t="e">
        <f t="shared" si="71"/>
        <v>#DIV/0!</v>
      </c>
      <c r="U206" s="79">
        <f t="shared" si="78"/>
        <v>0</v>
      </c>
      <c r="V206" s="80">
        <v>0</v>
      </c>
    </row>
    <row r="207" spans="1:22" s="16" customFormat="1" ht="15">
      <c r="A207" s="36" t="s">
        <v>242</v>
      </c>
      <c r="B207" s="9" t="s">
        <v>241</v>
      </c>
      <c r="C207" s="53">
        <f>3500000+367926-735852</f>
        <v>3132074</v>
      </c>
      <c r="D207" s="69">
        <v>0</v>
      </c>
      <c r="E207" s="69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3132074</v>
      </c>
      <c r="M207" s="68">
        <v>0</v>
      </c>
      <c r="N207" s="68">
        <v>0</v>
      </c>
      <c r="O207" s="68">
        <v>0</v>
      </c>
      <c r="P207" s="68">
        <v>0</v>
      </c>
      <c r="Q207" s="79">
        <f t="shared" si="77"/>
        <v>3132074</v>
      </c>
      <c r="R207" s="80">
        <f>+Q207/C207</f>
        <v>1</v>
      </c>
      <c r="S207" s="81">
        <f t="shared" si="70"/>
        <v>0</v>
      </c>
      <c r="T207" s="82">
        <f t="shared" si="71"/>
        <v>0</v>
      </c>
      <c r="U207" s="79">
        <f t="shared" si="78"/>
        <v>0</v>
      </c>
      <c r="V207" s="80">
        <f>+U207/C207</f>
        <v>0</v>
      </c>
    </row>
    <row r="208" spans="1:22" s="16" customFormat="1" ht="15">
      <c r="A208" s="177" t="s">
        <v>456</v>
      </c>
      <c r="B208" s="9" t="s">
        <v>482</v>
      </c>
      <c r="C208" s="53">
        <v>0</v>
      </c>
      <c r="D208" s="69">
        <v>2934070</v>
      </c>
      <c r="E208" s="69">
        <v>0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79">
        <f>SUM(D208:P208)</f>
        <v>2934070</v>
      </c>
      <c r="R208" s="80">
        <f>+Q208/D208</f>
        <v>1</v>
      </c>
      <c r="S208" s="81">
        <f t="shared" si="70"/>
        <v>-2934070</v>
      </c>
      <c r="T208" s="82" t="e">
        <f t="shared" si="71"/>
        <v>#DIV/0!</v>
      </c>
      <c r="U208" s="79">
        <f>+C208+D208-Q208</f>
        <v>0</v>
      </c>
      <c r="V208" s="80">
        <f>+U208/D208</f>
        <v>0</v>
      </c>
    </row>
    <row r="209" spans="1:22" s="16" customFormat="1" ht="15">
      <c r="A209" s="36" t="s">
        <v>219</v>
      </c>
      <c r="B209" s="29" t="s">
        <v>220</v>
      </c>
      <c r="C209" s="53">
        <f>500000-152883.49</f>
        <v>347116.51</v>
      </c>
      <c r="D209" s="69"/>
      <c r="E209" s="69">
        <v>0</v>
      </c>
      <c r="F209" s="68">
        <v>0</v>
      </c>
      <c r="G209" s="68">
        <v>347116.51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79">
        <f t="shared" si="77"/>
        <v>347116.51</v>
      </c>
      <c r="R209" s="80">
        <f>+Q209/C209</f>
        <v>1</v>
      </c>
      <c r="S209" s="81">
        <f t="shared" si="70"/>
        <v>0</v>
      </c>
      <c r="T209" s="82">
        <f t="shared" si="71"/>
        <v>0</v>
      </c>
      <c r="U209" s="79">
        <f aca="true" t="shared" si="79" ref="U209:U215">+C209-Q209</f>
        <v>0</v>
      </c>
      <c r="V209" s="80">
        <f>+U209/C209</f>
        <v>0</v>
      </c>
    </row>
    <row r="210" spans="1:22" s="16" customFormat="1" ht="15">
      <c r="A210" s="177" t="s">
        <v>473</v>
      </c>
      <c r="B210" s="29" t="s">
        <v>483</v>
      </c>
      <c r="C210" s="53">
        <v>0</v>
      </c>
      <c r="D210" s="69">
        <v>0</v>
      </c>
      <c r="E210" s="69">
        <v>0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79">
        <f t="shared" si="77"/>
        <v>0</v>
      </c>
      <c r="R210" s="80">
        <v>0</v>
      </c>
      <c r="S210" s="81">
        <f t="shared" si="70"/>
        <v>0</v>
      </c>
      <c r="T210" s="82" t="e">
        <f t="shared" si="71"/>
        <v>#DIV/0!</v>
      </c>
      <c r="U210" s="79">
        <f t="shared" si="79"/>
        <v>0</v>
      </c>
      <c r="V210" s="80">
        <v>0</v>
      </c>
    </row>
    <row r="211" spans="1:22" s="16" customFormat="1" ht="15">
      <c r="A211" s="142" t="s">
        <v>427</v>
      </c>
      <c r="B211" s="40" t="s">
        <v>428</v>
      </c>
      <c r="C211" s="53">
        <f>5000-4400</f>
        <v>600</v>
      </c>
      <c r="D211" s="69">
        <v>0</v>
      </c>
      <c r="E211" s="69">
        <v>0</v>
      </c>
      <c r="F211" s="68">
        <v>0</v>
      </c>
      <c r="G211" s="68">
        <v>0</v>
      </c>
      <c r="H211" s="68">
        <v>0</v>
      </c>
      <c r="I211" s="68">
        <v>0</v>
      </c>
      <c r="J211" s="68">
        <v>600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79">
        <f t="shared" si="77"/>
        <v>600</v>
      </c>
      <c r="R211" s="80">
        <f>+Q211/C211</f>
        <v>1</v>
      </c>
      <c r="S211" s="81">
        <f t="shared" si="70"/>
        <v>0</v>
      </c>
      <c r="T211" s="82">
        <f t="shared" si="71"/>
        <v>0</v>
      </c>
      <c r="U211" s="79">
        <f t="shared" si="79"/>
        <v>0</v>
      </c>
      <c r="V211" s="80">
        <f>+U211/C211</f>
        <v>0</v>
      </c>
    </row>
    <row r="212" spans="1:22" s="16" customFormat="1" ht="45">
      <c r="A212" s="64" t="s">
        <v>385</v>
      </c>
      <c r="B212" s="40" t="s">
        <v>384</v>
      </c>
      <c r="C212" s="53">
        <v>0</v>
      </c>
      <c r="D212" s="69">
        <v>0</v>
      </c>
      <c r="E212" s="69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79">
        <f t="shared" si="77"/>
        <v>0</v>
      </c>
      <c r="R212" s="80">
        <v>0</v>
      </c>
      <c r="S212" s="81">
        <f t="shared" si="70"/>
        <v>0</v>
      </c>
      <c r="T212" s="82" t="e">
        <f t="shared" si="71"/>
        <v>#DIV/0!</v>
      </c>
      <c r="U212" s="79">
        <f t="shared" si="79"/>
        <v>0</v>
      </c>
      <c r="V212" s="80">
        <v>0</v>
      </c>
    </row>
    <row r="213" spans="1:22" s="16" customFormat="1" ht="15">
      <c r="A213" s="64" t="s">
        <v>338</v>
      </c>
      <c r="B213" s="40" t="s">
        <v>339</v>
      </c>
      <c r="C213" s="53">
        <v>0</v>
      </c>
      <c r="D213" s="69">
        <v>0</v>
      </c>
      <c r="E213" s="69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79">
        <f t="shared" si="77"/>
        <v>0</v>
      </c>
      <c r="R213" s="80">
        <v>0</v>
      </c>
      <c r="S213" s="81">
        <f t="shared" si="70"/>
        <v>0</v>
      </c>
      <c r="T213" s="82" t="e">
        <f t="shared" si="71"/>
        <v>#DIV/0!</v>
      </c>
      <c r="U213" s="79">
        <f t="shared" si="79"/>
        <v>0</v>
      </c>
      <c r="V213" s="80">
        <v>0</v>
      </c>
    </row>
    <row r="214" spans="1:22" s="16" customFormat="1" ht="15">
      <c r="A214" s="36" t="s">
        <v>221</v>
      </c>
      <c r="B214" s="29" t="s">
        <v>222</v>
      </c>
      <c r="C214" s="53">
        <v>0</v>
      </c>
      <c r="D214" s="69">
        <v>0</v>
      </c>
      <c r="E214" s="69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0</v>
      </c>
      <c r="Q214" s="79">
        <f t="shared" si="77"/>
        <v>0</v>
      </c>
      <c r="R214" s="80">
        <v>0</v>
      </c>
      <c r="S214" s="81">
        <f t="shared" si="70"/>
        <v>0</v>
      </c>
      <c r="T214" s="82" t="e">
        <f t="shared" si="71"/>
        <v>#DIV/0!</v>
      </c>
      <c r="U214" s="79">
        <f t="shared" si="79"/>
        <v>0</v>
      </c>
      <c r="V214" s="80">
        <v>0</v>
      </c>
    </row>
    <row r="215" spans="1:22" s="16" customFormat="1" ht="30">
      <c r="A215" s="55" t="s">
        <v>275</v>
      </c>
      <c r="B215" s="40" t="s">
        <v>274</v>
      </c>
      <c r="C215" s="53">
        <v>0</v>
      </c>
      <c r="D215" s="69">
        <v>0</v>
      </c>
      <c r="E215" s="69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79">
        <f t="shared" si="77"/>
        <v>0</v>
      </c>
      <c r="R215" s="80">
        <v>0</v>
      </c>
      <c r="S215" s="81">
        <f t="shared" si="70"/>
        <v>0</v>
      </c>
      <c r="T215" s="82" t="e">
        <f t="shared" si="71"/>
        <v>#DIV/0!</v>
      </c>
      <c r="U215" s="79">
        <f t="shared" si="79"/>
        <v>0</v>
      </c>
      <c r="V215" s="80">
        <v>0</v>
      </c>
    </row>
    <row r="216" spans="1:22" s="16" customFormat="1" ht="15">
      <c r="A216" s="189" t="s">
        <v>473</v>
      </c>
      <c r="B216" s="40" t="s">
        <v>483</v>
      </c>
      <c r="C216" s="53">
        <v>0</v>
      </c>
      <c r="D216" s="68">
        <v>58601990</v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>
        <v>0</v>
      </c>
      <c r="P216" s="68">
        <v>0</v>
      </c>
      <c r="Q216" s="79">
        <f>SUM(E216:P216)</f>
        <v>0</v>
      </c>
      <c r="R216" s="80">
        <v>0</v>
      </c>
      <c r="S216" s="81">
        <f t="shared" si="70"/>
        <v>0</v>
      </c>
      <c r="T216" s="82" t="e">
        <f t="shared" si="71"/>
        <v>#DIV/0!</v>
      </c>
      <c r="U216" s="79">
        <f>+(C216+D216)-Q216</f>
        <v>58601990</v>
      </c>
      <c r="V216" s="80">
        <v>1</v>
      </c>
    </row>
    <row r="217" spans="1:22" s="16" customFormat="1" ht="15">
      <c r="A217" s="44" t="s">
        <v>313</v>
      </c>
      <c r="B217" s="41" t="s">
        <v>314</v>
      </c>
      <c r="C217" s="53">
        <v>0</v>
      </c>
      <c r="D217" s="69">
        <v>0</v>
      </c>
      <c r="E217" s="69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79">
        <f t="shared" si="77"/>
        <v>0</v>
      </c>
      <c r="R217" s="80">
        <v>0</v>
      </c>
      <c r="S217" s="81">
        <f t="shared" si="70"/>
        <v>0</v>
      </c>
      <c r="T217" s="82" t="e">
        <f t="shared" si="71"/>
        <v>#DIV/0!</v>
      </c>
      <c r="U217" s="79">
        <f>+C217-Q217</f>
        <v>0</v>
      </c>
      <c r="V217" s="80">
        <v>0</v>
      </c>
    </row>
    <row r="218" spans="1:22" s="16" customFormat="1" ht="15">
      <c r="A218" s="36" t="s">
        <v>277</v>
      </c>
      <c r="B218" s="29" t="s">
        <v>276</v>
      </c>
      <c r="C218" s="53">
        <v>0</v>
      </c>
      <c r="D218" s="69">
        <v>0</v>
      </c>
      <c r="E218" s="69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79">
        <f t="shared" si="77"/>
        <v>0</v>
      </c>
      <c r="R218" s="80">
        <v>0</v>
      </c>
      <c r="S218" s="81">
        <f t="shared" si="70"/>
        <v>0</v>
      </c>
      <c r="T218" s="82" t="e">
        <f t="shared" si="71"/>
        <v>#DIV/0!</v>
      </c>
      <c r="U218" s="79">
        <f>+C218-Q218</f>
        <v>0</v>
      </c>
      <c r="V218" s="80">
        <v>0</v>
      </c>
    </row>
    <row r="219" spans="1:22" s="16" customFormat="1" ht="30">
      <c r="A219" s="55" t="s">
        <v>307</v>
      </c>
      <c r="B219" s="40" t="s">
        <v>308</v>
      </c>
      <c r="C219" s="53">
        <v>0</v>
      </c>
      <c r="D219" s="69">
        <v>0</v>
      </c>
      <c r="E219" s="69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79">
        <f t="shared" si="77"/>
        <v>0</v>
      </c>
      <c r="R219" s="80">
        <v>0</v>
      </c>
      <c r="S219" s="81">
        <f t="shared" si="70"/>
        <v>0</v>
      </c>
      <c r="T219" s="82" t="e">
        <f t="shared" si="71"/>
        <v>#DIV/0!</v>
      </c>
      <c r="U219" s="79">
        <f>+C219-Q219</f>
        <v>0</v>
      </c>
      <c r="V219" s="80">
        <v>0</v>
      </c>
    </row>
    <row r="220" spans="1:22" s="16" customFormat="1" ht="15">
      <c r="A220" s="64" t="s">
        <v>338</v>
      </c>
      <c r="B220" s="40" t="s">
        <v>339</v>
      </c>
      <c r="C220" s="53">
        <v>0</v>
      </c>
      <c r="D220" s="69">
        <v>0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79">
        <f t="shared" si="77"/>
        <v>0</v>
      </c>
      <c r="R220" s="80" t="e">
        <f>+Q220/C220</f>
        <v>#DIV/0!</v>
      </c>
      <c r="S220" s="81">
        <f t="shared" si="70"/>
        <v>0</v>
      </c>
      <c r="T220" s="82" t="e">
        <f t="shared" si="71"/>
        <v>#DIV/0!</v>
      </c>
      <c r="U220" s="79">
        <f>+C220-Q220</f>
        <v>0</v>
      </c>
      <c r="V220" s="80" t="e">
        <f>+U220/C220</f>
        <v>#DIV/0!</v>
      </c>
    </row>
    <row r="221" spans="1:22" s="16" customFormat="1" ht="15">
      <c r="A221" s="64" t="s">
        <v>344</v>
      </c>
      <c r="B221" s="40" t="s">
        <v>343</v>
      </c>
      <c r="C221" s="53">
        <v>0</v>
      </c>
      <c r="D221" s="69">
        <v>0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79">
        <f>SUM(E221:P221)</f>
        <v>0</v>
      </c>
      <c r="R221" s="80" t="e">
        <f>+Q221/C221</f>
        <v>#DIV/0!</v>
      </c>
      <c r="S221" s="81">
        <f t="shared" si="70"/>
        <v>0</v>
      </c>
      <c r="T221" s="82" t="e">
        <f t="shared" si="71"/>
        <v>#DIV/0!</v>
      </c>
      <c r="U221" s="79">
        <f>+C221-Q221</f>
        <v>0</v>
      </c>
      <c r="V221" s="80" t="e">
        <f>+U221/C221</f>
        <v>#DIV/0!</v>
      </c>
    </row>
    <row r="222" spans="1:22" s="147" customFormat="1" ht="15">
      <c r="A222" s="145" t="s">
        <v>361</v>
      </c>
      <c r="B222" s="42" t="s">
        <v>418</v>
      </c>
      <c r="C222" s="68">
        <v>313511.6</v>
      </c>
      <c r="D222" s="68">
        <v>108137017.73</v>
      </c>
      <c r="E222" s="68"/>
      <c r="F222" s="68"/>
      <c r="G222" s="68"/>
      <c r="H222" s="68">
        <v>281710.6</v>
      </c>
      <c r="I222" s="68"/>
      <c r="J222" s="68"/>
      <c r="K222" s="68">
        <v>107288818</v>
      </c>
      <c r="L222" s="68">
        <v>31801</v>
      </c>
      <c r="M222" s="68"/>
      <c r="N222" s="68"/>
      <c r="O222" s="68">
        <v>0</v>
      </c>
      <c r="P222" s="68">
        <v>0</v>
      </c>
      <c r="Q222" s="79">
        <f>SUM(E222:P222)</f>
        <v>107602329.6</v>
      </c>
      <c r="R222" s="80">
        <f>+Q222/D222</f>
        <v>0.9950554570375241</v>
      </c>
      <c r="S222" s="81">
        <f t="shared" si="70"/>
        <v>-107288818</v>
      </c>
      <c r="T222" s="82">
        <f t="shared" si="71"/>
        <v>-342.21642197609276</v>
      </c>
      <c r="U222" s="79">
        <f>+C222+D222-Q222</f>
        <v>848199.7300000042</v>
      </c>
      <c r="V222" s="80">
        <f>100%-R222</f>
        <v>0.0049445429624759285</v>
      </c>
    </row>
    <row r="223" spans="1:22" s="16" customFormat="1" ht="15">
      <c r="A223" s="98" t="s">
        <v>394</v>
      </c>
      <c r="B223" s="40" t="s">
        <v>395</v>
      </c>
      <c r="C223" s="53"/>
      <c r="D223" s="69">
        <v>0</v>
      </c>
      <c r="E223" s="68">
        <v>0</v>
      </c>
      <c r="F223" s="68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v>0</v>
      </c>
      <c r="Q223" s="79">
        <f>SUM(E223:P223)</f>
        <v>0</v>
      </c>
      <c r="R223" s="80">
        <v>0</v>
      </c>
      <c r="S223" s="81">
        <f t="shared" si="70"/>
        <v>0</v>
      </c>
      <c r="T223" s="82" t="e">
        <f t="shared" si="71"/>
        <v>#DIV/0!</v>
      </c>
      <c r="U223" s="79">
        <f>+C223-Q223</f>
        <v>0</v>
      </c>
      <c r="V223" s="80">
        <v>0</v>
      </c>
    </row>
    <row r="224" spans="1:22" s="16" customFormat="1" ht="15">
      <c r="A224" s="36" t="s">
        <v>311</v>
      </c>
      <c r="B224" s="29" t="s">
        <v>312</v>
      </c>
      <c r="C224" s="53">
        <v>0</v>
      </c>
      <c r="D224" s="69">
        <v>0</v>
      </c>
      <c r="E224" s="69">
        <v>0</v>
      </c>
      <c r="F224" s="68">
        <v>0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79">
        <f t="shared" si="77"/>
        <v>0</v>
      </c>
      <c r="R224" s="80">
        <v>0</v>
      </c>
      <c r="S224" s="81">
        <f t="shared" si="70"/>
        <v>0</v>
      </c>
      <c r="T224" s="82" t="e">
        <f t="shared" si="71"/>
        <v>#DIV/0!</v>
      </c>
      <c r="U224" s="79">
        <f>+C224-Q224</f>
        <v>0</v>
      </c>
      <c r="V224" s="80">
        <v>0</v>
      </c>
    </row>
    <row r="225" spans="1:22" s="16" customFormat="1" ht="15">
      <c r="A225" s="59" t="s">
        <v>328</v>
      </c>
      <c r="B225" s="29" t="s">
        <v>329</v>
      </c>
      <c r="C225" s="53"/>
      <c r="D225" s="69">
        <v>32000000</v>
      </c>
      <c r="E225" s="69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79">
        <f aca="true" t="shared" si="80" ref="Q225:Q231">SUM(E225:P225)</f>
        <v>0</v>
      </c>
      <c r="R225" s="80">
        <v>0</v>
      </c>
      <c r="S225" s="81">
        <f t="shared" si="70"/>
        <v>0</v>
      </c>
      <c r="T225" s="82" t="e">
        <f t="shared" si="71"/>
        <v>#DIV/0!</v>
      </c>
      <c r="U225" s="79">
        <f>+D225</f>
        <v>32000000</v>
      </c>
      <c r="V225" s="80">
        <v>1</v>
      </c>
    </row>
    <row r="226" spans="1:22" s="16" customFormat="1" ht="15">
      <c r="A226" s="24" t="s">
        <v>279</v>
      </c>
      <c r="B226" s="24" t="s">
        <v>342</v>
      </c>
      <c r="C226" s="117">
        <f>+C227</f>
        <v>16891727.490000002</v>
      </c>
      <c r="D226" s="117">
        <f aca="true" t="shared" si="81" ref="D226:J226">+D227</f>
        <v>0</v>
      </c>
      <c r="E226" s="117">
        <f t="shared" si="81"/>
        <v>1150132.89</v>
      </c>
      <c r="F226" s="117">
        <f t="shared" si="81"/>
        <v>1816347.1</v>
      </c>
      <c r="G226" s="117">
        <f t="shared" si="81"/>
        <v>1084024.52</v>
      </c>
      <c r="H226" s="117">
        <f t="shared" si="81"/>
        <v>829456.32</v>
      </c>
      <c r="I226" s="117">
        <f t="shared" si="81"/>
        <v>1582528.73</v>
      </c>
      <c r="J226" s="117">
        <f t="shared" si="81"/>
        <v>848096.66</v>
      </c>
      <c r="K226" s="117">
        <f aca="true" t="shared" si="82" ref="K226:P226">+K227</f>
        <v>999179.87</v>
      </c>
      <c r="L226" s="117">
        <f t="shared" si="82"/>
        <v>2828650.48</v>
      </c>
      <c r="M226" s="117">
        <f t="shared" si="82"/>
        <v>2699491.53</v>
      </c>
      <c r="N226" s="117">
        <f t="shared" si="82"/>
        <v>0</v>
      </c>
      <c r="O226" s="117">
        <f t="shared" si="82"/>
        <v>1949246.01</v>
      </c>
      <c r="P226" s="117">
        <f t="shared" si="82"/>
        <v>1104573.38</v>
      </c>
      <c r="Q226" s="121">
        <f t="shared" si="80"/>
        <v>16891727.49</v>
      </c>
      <c r="R226" s="122">
        <f aca="true" t="shared" si="83" ref="R226:R232">+Q226/C226</f>
        <v>0.9999999999999998</v>
      </c>
      <c r="S226" s="121">
        <f t="shared" si="70"/>
        <v>0</v>
      </c>
      <c r="T226" s="122">
        <f t="shared" si="71"/>
        <v>0</v>
      </c>
      <c r="U226" s="121">
        <f>+U227</f>
        <v>0</v>
      </c>
      <c r="V226" s="124">
        <f aca="true" t="shared" si="84" ref="V226:V232">+U226/C226</f>
        <v>0</v>
      </c>
    </row>
    <row r="227" spans="1:22" s="16" customFormat="1" ht="15">
      <c r="A227" s="36" t="s">
        <v>243</v>
      </c>
      <c r="B227" s="29" t="s">
        <v>244</v>
      </c>
      <c r="C227" s="53">
        <f>8000000+6000000+2891727.49</f>
        <v>16891727.490000002</v>
      </c>
      <c r="D227" s="69">
        <v>0</v>
      </c>
      <c r="E227" s="69">
        <v>1150132.89</v>
      </c>
      <c r="F227" s="68">
        <v>1816347.1</v>
      </c>
      <c r="G227" s="68">
        <v>1084024.52</v>
      </c>
      <c r="H227" s="68">
        <v>829456.32</v>
      </c>
      <c r="I227" s="68">
        <v>1582528.73</v>
      </c>
      <c r="J227" s="68">
        <v>848096.66</v>
      </c>
      <c r="K227" s="68">
        <v>999179.87</v>
      </c>
      <c r="L227" s="68">
        <v>2828650.48</v>
      </c>
      <c r="M227" s="68">
        <v>2699491.53</v>
      </c>
      <c r="N227" s="68">
        <v>0</v>
      </c>
      <c r="O227" s="68">
        <v>1949246.01</v>
      </c>
      <c r="P227" s="68">
        <v>1104573.38</v>
      </c>
      <c r="Q227" s="79">
        <f>SUM(E227:P227)</f>
        <v>16891727.49</v>
      </c>
      <c r="R227" s="80">
        <f t="shared" si="83"/>
        <v>0.9999999999999998</v>
      </c>
      <c r="S227" s="81">
        <f t="shared" si="70"/>
        <v>0</v>
      </c>
      <c r="T227" s="82">
        <f t="shared" si="71"/>
        <v>0</v>
      </c>
      <c r="U227" s="79">
        <f>+C227-Q227</f>
        <v>0</v>
      </c>
      <c r="V227" s="80">
        <f t="shared" si="84"/>
        <v>0</v>
      </c>
    </row>
    <row r="228" spans="1:22" s="16" customFormat="1" ht="15">
      <c r="A228" s="24" t="s">
        <v>340</v>
      </c>
      <c r="B228" s="8" t="s">
        <v>341</v>
      </c>
      <c r="C228" s="117">
        <f>+C229</f>
        <v>2020000</v>
      </c>
      <c r="D228" s="117">
        <f aca="true" t="shared" si="85" ref="D228:I228">+D229</f>
        <v>0</v>
      </c>
      <c r="E228" s="117">
        <f t="shared" si="85"/>
        <v>160000</v>
      </c>
      <c r="F228" s="117">
        <f t="shared" si="85"/>
        <v>160000</v>
      </c>
      <c r="G228" s="117">
        <f t="shared" si="85"/>
        <v>160000</v>
      </c>
      <c r="H228" s="117">
        <f t="shared" si="85"/>
        <v>160000</v>
      </c>
      <c r="I228" s="117">
        <f t="shared" si="85"/>
        <v>160000</v>
      </c>
      <c r="J228" s="117">
        <f aca="true" t="shared" si="86" ref="J228:O228">+J229</f>
        <v>160000</v>
      </c>
      <c r="K228" s="117">
        <f t="shared" si="86"/>
        <v>160000</v>
      </c>
      <c r="L228" s="117">
        <f t="shared" si="86"/>
        <v>0</v>
      </c>
      <c r="M228" s="117">
        <f t="shared" si="86"/>
        <v>320000</v>
      </c>
      <c r="N228" s="117">
        <f t="shared" si="86"/>
        <v>0</v>
      </c>
      <c r="O228" s="117">
        <f t="shared" si="86"/>
        <v>100000</v>
      </c>
      <c r="P228" s="117">
        <f>+P229</f>
        <v>480000</v>
      </c>
      <c r="Q228" s="121">
        <f t="shared" si="80"/>
        <v>2020000</v>
      </c>
      <c r="R228" s="122">
        <f t="shared" si="83"/>
        <v>1</v>
      </c>
      <c r="S228" s="121">
        <f t="shared" si="70"/>
        <v>0</v>
      </c>
      <c r="T228" s="122">
        <f t="shared" si="71"/>
        <v>0</v>
      </c>
      <c r="U228" s="121">
        <f>+U229</f>
        <v>0</v>
      </c>
      <c r="V228" s="124">
        <f t="shared" si="84"/>
        <v>0</v>
      </c>
    </row>
    <row r="229" spans="1:22" s="16" customFormat="1" ht="30">
      <c r="A229" s="64" t="s">
        <v>346</v>
      </c>
      <c r="B229" s="62" t="s">
        <v>345</v>
      </c>
      <c r="C229" s="53">
        <f>2000000-300000+320000</f>
        <v>2020000</v>
      </c>
      <c r="D229" s="69">
        <v>0</v>
      </c>
      <c r="E229" s="68">
        <v>160000</v>
      </c>
      <c r="F229" s="68">
        <v>160000</v>
      </c>
      <c r="G229" s="68">
        <v>160000</v>
      </c>
      <c r="H229" s="68">
        <v>160000</v>
      </c>
      <c r="I229" s="68">
        <v>160000</v>
      </c>
      <c r="J229" s="68">
        <v>160000</v>
      </c>
      <c r="K229" s="68">
        <v>160000</v>
      </c>
      <c r="L229" s="68">
        <v>0</v>
      </c>
      <c r="M229" s="68">
        <v>320000</v>
      </c>
      <c r="N229" s="68">
        <v>0</v>
      </c>
      <c r="O229" s="68">
        <v>100000</v>
      </c>
      <c r="P229" s="68">
        <v>480000</v>
      </c>
      <c r="Q229" s="79">
        <f t="shared" si="80"/>
        <v>2020000</v>
      </c>
      <c r="R229" s="80">
        <f t="shared" si="83"/>
        <v>1</v>
      </c>
      <c r="S229" s="81">
        <f t="shared" si="70"/>
        <v>0</v>
      </c>
      <c r="T229" s="82">
        <f t="shared" si="71"/>
        <v>0</v>
      </c>
      <c r="U229" s="79">
        <f>+C229-Q229</f>
        <v>0</v>
      </c>
      <c r="V229" s="80">
        <f t="shared" si="84"/>
        <v>0</v>
      </c>
    </row>
    <row r="230" spans="1:22" s="16" customFormat="1" ht="30">
      <c r="A230" s="56" t="s">
        <v>409</v>
      </c>
      <c r="B230" s="43" t="s">
        <v>410</v>
      </c>
      <c r="C230" s="117">
        <f>+C231</f>
        <v>14228.92</v>
      </c>
      <c r="D230" s="117">
        <f>+D231</f>
        <v>0</v>
      </c>
      <c r="E230" s="117"/>
      <c r="F230" s="117">
        <f aca="true" t="shared" si="87" ref="F230:L230">+F231</f>
        <v>5000</v>
      </c>
      <c r="G230" s="117">
        <f t="shared" si="87"/>
        <v>0</v>
      </c>
      <c r="H230" s="117">
        <f t="shared" si="87"/>
        <v>0</v>
      </c>
      <c r="I230" s="117">
        <f t="shared" si="87"/>
        <v>0</v>
      </c>
      <c r="J230" s="117">
        <f t="shared" si="87"/>
        <v>9228.92</v>
      </c>
      <c r="K230" s="117">
        <f t="shared" si="87"/>
        <v>0</v>
      </c>
      <c r="L230" s="117">
        <f t="shared" si="87"/>
        <v>0</v>
      </c>
      <c r="M230" s="117"/>
      <c r="N230" s="117"/>
      <c r="O230" s="117">
        <f>+O231</f>
        <v>0</v>
      </c>
      <c r="P230" s="117">
        <f>+P231</f>
        <v>0</v>
      </c>
      <c r="Q230" s="121">
        <f t="shared" si="80"/>
        <v>14228.92</v>
      </c>
      <c r="R230" s="122">
        <f t="shared" si="83"/>
        <v>1</v>
      </c>
      <c r="S230" s="121">
        <f t="shared" si="70"/>
        <v>0</v>
      </c>
      <c r="T230" s="122">
        <f t="shared" si="71"/>
        <v>0</v>
      </c>
      <c r="U230" s="121">
        <f>+U231</f>
        <v>0</v>
      </c>
      <c r="V230" s="124">
        <f t="shared" si="84"/>
        <v>0</v>
      </c>
    </row>
    <row r="231" spans="1:22" s="16" customFormat="1" ht="30">
      <c r="A231" s="133" t="s">
        <v>408</v>
      </c>
      <c r="B231" s="62" t="s">
        <v>411</v>
      </c>
      <c r="C231" s="53">
        <f>20000-5771.08</f>
        <v>14228.92</v>
      </c>
      <c r="D231" s="69"/>
      <c r="E231" s="68">
        <v>0</v>
      </c>
      <c r="F231" s="68">
        <v>5000</v>
      </c>
      <c r="G231" s="68">
        <v>0</v>
      </c>
      <c r="H231" s="68">
        <v>0</v>
      </c>
      <c r="I231" s="68">
        <v>0</v>
      </c>
      <c r="J231" s="68">
        <v>9228.92</v>
      </c>
      <c r="K231" s="68">
        <v>0</v>
      </c>
      <c r="L231" s="68">
        <v>0</v>
      </c>
      <c r="M231" s="68">
        <f>+M230</f>
        <v>0</v>
      </c>
      <c r="N231" s="68">
        <v>0</v>
      </c>
      <c r="O231" s="68">
        <v>0</v>
      </c>
      <c r="P231" s="68">
        <v>0</v>
      </c>
      <c r="Q231" s="79">
        <f t="shared" si="80"/>
        <v>14228.92</v>
      </c>
      <c r="R231" s="80">
        <f t="shared" si="83"/>
        <v>1</v>
      </c>
      <c r="S231" s="81">
        <f t="shared" si="70"/>
        <v>0</v>
      </c>
      <c r="T231" s="82">
        <f t="shared" si="71"/>
        <v>0</v>
      </c>
      <c r="U231" s="79">
        <f>+C231-Q231</f>
        <v>0</v>
      </c>
      <c r="V231" s="80">
        <f t="shared" si="84"/>
        <v>0</v>
      </c>
    </row>
    <row r="232" spans="1:22" s="17" customFormat="1" ht="15.75">
      <c r="A232" s="214" t="s">
        <v>145</v>
      </c>
      <c r="B232" s="214"/>
      <c r="C232" s="125">
        <f>+C226+C201+C199+C194+C179+C165+C145+C126+C120+C117+C112+C107+C77+C64+C61+C49+C46+C43+C35+C15+C96+C56+C228+C230</f>
        <v>1355634688</v>
      </c>
      <c r="D232" s="125">
        <f>+D230+D228+D226+D201+D199+D194+D179+D165+D145+D126+D120+D117+D112+D107+D96+D77+D64+D61+D56+D49+D43+D35+D46+D15</f>
        <v>428752145.27</v>
      </c>
      <c r="E232" s="125">
        <f>+E15+E35+E43+E46+E49+E56+E61+E64+E77+E96+E107+E112+E117+E120+E126+E145+E165+E179+E194+E201+E228+E199+E226</f>
        <v>102643349.67999999</v>
      </c>
      <c r="F232" s="125">
        <f>+F15+F35+F43+F46+F49+F56+F61+F64+F77+F96+F107+F112+F117+F120+F126+F145+F165+F179+F194+F201+F226+F228+F199+F230</f>
        <v>106360029.14000002</v>
      </c>
      <c r="G232" s="125">
        <f>+G15+G35+G43+G46+G49+G56+G61+G64+G77+G96+G107+G112+G117+G120+G126+G145+G165+G179+G194+G201+G226+G228+G199</f>
        <v>105710729.74</v>
      </c>
      <c r="H232" s="125">
        <f>+H15+H35+H43+H46+H49+H56+H61+H64+H77+H96+H107+H112+H117+H120+H126+H145+H165+H179+H194+H201+H226+H199+H228</f>
        <v>183172207.23</v>
      </c>
      <c r="I232" s="125">
        <f>+I15+I35+I43+I46+I49+I56+I64+I77+I107+I112+I96+I117+I120+I126+I145+I165+I179+I194+I199+I201+I226+I228+I61</f>
        <v>107256474.52000001</v>
      </c>
      <c r="J232" s="125">
        <f>+J15+J35+J43+J46+J49+J56+J61+J64+J77+J96+J107+J112+J117+J120+J126+J145+J165+J179+J194+J199+J201+J226+J228+J230</f>
        <v>119252183.69999999</v>
      </c>
      <c r="K232" s="125">
        <f>+K15+K35+K43+K46+K49+K56+K61+K64+K77+K96+K107+K112+K117+K120+K126+K145+K165+K179+K194+K201+K226+K199+K228</f>
        <v>223831179.65</v>
      </c>
      <c r="L232" s="125">
        <f>+L15+L35+L43+L46+L49+L56+L61+L64+L77+L96+L107+L112+L117+L120+L126+L145+L165+L179+L194+L201+L226+L199+L228</f>
        <v>123810409.71000004</v>
      </c>
      <c r="M232" s="125">
        <f>+M15+M35+M43+M46+M49+M56+M61+M64+M77+M96+M107+M112+M117+M120+M126+M145+M165+M179+M194+M201+M226+M199+M229</f>
        <v>120365810.93</v>
      </c>
      <c r="N232" s="125">
        <f>+N15+N35+N43+N46+N49+N56+N61+N64+N77+N96+N107+N112+N117+N120+N126+N145+N165+N179+N194+N201+N226+N199+N228</f>
        <v>128047452</v>
      </c>
      <c r="O232" s="125">
        <f>+O230+O228+O226+O201+O199+O194+O179+O165+O145+O126+O120+O117+O112+O107+O96+O77+O64+O61+O56+O46+O43+O35+O15+O49</f>
        <v>115376440.61999999</v>
      </c>
      <c r="P232" s="125">
        <f>+P15+P35+P43+P46+P49+P56+P61+P64+P77+P96+P107+P112+P117+P120+P126+P145+P165+P179+P194+P201+P226+P199+P228</f>
        <v>219392005.19000003</v>
      </c>
      <c r="Q232" s="126">
        <f>SUM(E232:O232)</f>
        <v>1435826266.9199998</v>
      </c>
      <c r="R232" s="127">
        <f t="shared" si="83"/>
        <v>1.0591542689412208</v>
      </c>
      <c r="S232" s="128">
        <f>+S201+S194+S179+S165+S145+S126+S120+S117+S112+S96+S77+S64+S61+S56+S49+S46+S43+S35+S15+S107</f>
        <v>-292903994.2400001</v>
      </c>
      <c r="T232" s="127">
        <f t="shared" si="71"/>
        <v>-0.21606410401915013</v>
      </c>
      <c r="U232" s="195">
        <f>+U230+U228+U226+U201+U199+U194+U179+U165+U145+U126+U120+U117+U112+U107+U96+U77+U64+U61+U56+U49+U46+U43+U35+U15</f>
        <v>126550167.84</v>
      </c>
      <c r="V232" s="129">
        <f t="shared" si="84"/>
        <v>0.09335123168521342</v>
      </c>
    </row>
    <row r="233" spans="1:22" ht="15">
      <c r="A233" s="13"/>
      <c r="B233" s="33"/>
      <c r="C233" s="10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134"/>
      <c r="R233" s="135"/>
      <c r="S233" s="134"/>
      <c r="T233" s="135"/>
      <c r="U233" s="134"/>
      <c r="V233" s="135"/>
    </row>
    <row r="234" spans="1:22" s="19" customFormat="1" ht="15">
      <c r="A234" s="196"/>
      <c r="B234" s="197"/>
      <c r="C234" s="198"/>
      <c r="D234" s="199"/>
      <c r="E234" s="198"/>
      <c r="F234" s="200"/>
      <c r="G234" s="199"/>
      <c r="H234" s="199"/>
      <c r="I234" s="198"/>
      <c r="J234" s="199"/>
      <c r="K234" s="199"/>
      <c r="L234" s="199"/>
      <c r="M234" s="199"/>
      <c r="N234" s="199"/>
      <c r="O234" s="198"/>
      <c r="P234" s="198"/>
      <c r="Q234" s="201"/>
      <c r="R234" s="202"/>
      <c r="S234" s="203"/>
      <c r="T234" s="204"/>
      <c r="U234" s="201"/>
      <c r="V234" s="202"/>
    </row>
    <row r="235" spans="3:22" s="19" customFormat="1" ht="15">
      <c r="C235" s="105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P235" s="23"/>
      <c r="Q235" s="23"/>
      <c r="R235" s="23"/>
      <c r="S235" s="23"/>
      <c r="T235" s="205"/>
      <c r="U235" s="23"/>
      <c r="V235" s="23"/>
    </row>
    <row r="236" spans="3:22" s="19" customFormat="1" ht="15">
      <c r="C236" s="105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05"/>
      <c r="U236" s="23"/>
      <c r="V236" s="23"/>
    </row>
    <row r="237" spans="3:22" s="19" customFormat="1" ht="15">
      <c r="C237" s="105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05"/>
      <c r="U237" s="23"/>
      <c r="V237" s="23"/>
    </row>
    <row r="238" spans="1:22" ht="15">
      <c r="A238" s="19"/>
      <c r="B238" s="19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0"/>
      <c r="U238" s="26"/>
      <c r="V238" s="26"/>
    </row>
    <row r="239" spans="1:22" ht="20.2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</row>
    <row r="240" spans="1:21" ht="18">
      <c r="A240" s="21"/>
      <c r="B240" s="22"/>
      <c r="C240" s="104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23"/>
      <c r="R240" s="23"/>
      <c r="U240" s="23"/>
    </row>
    <row r="241" ht="15">
      <c r="A241" s="151" t="s">
        <v>437</v>
      </c>
    </row>
    <row r="242" spans="1:16" s="19" customFormat="1" ht="15">
      <c r="A242" s="152" t="s">
        <v>438</v>
      </c>
      <c r="C242" s="130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s="19" customFormat="1" ht="15">
      <c r="A243"/>
      <c r="C243" s="101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1" s="19" customFormat="1" ht="15">
      <c r="A244" s="151" t="s">
        <v>439</v>
      </c>
      <c r="C244" s="105"/>
      <c r="F244" s="23"/>
      <c r="J244" s="143"/>
      <c r="K244" s="143"/>
    </row>
    <row r="245" spans="1:6" s="19" customFormat="1" ht="15">
      <c r="A245" s="152" t="s">
        <v>440</v>
      </c>
      <c r="C245" s="105"/>
      <c r="F245" s="105"/>
    </row>
    <row r="246" spans="1:3" s="19" customFormat="1" ht="15">
      <c r="A246" s="152" t="s">
        <v>441</v>
      </c>
      <c r="C246" s="105"/>
    </row>
    <row r="247" spans="1:3" s="19" customFormat="1" ht="15">
      <c r="A247" s="152"/>
      <c r="C247" s="105"/>
    </row>
    <row r="248" spans="1:3" s="19" customFormat="1" ht="15">
      <c r="A248" s="151" t="s">
        <v>442</v>
      </c>
      <c r="C248" s="105"/>
    </row>
    <row r="249" spans="1:3" s="19" customFormat="1" ht="15">
      <c r="A249" s="152" t="s">
        <v>443</v>
      </c>
      <c r="C249" s="105"/>
    </row>
    <row r="250" spans="1:3" s="19" customFormat="1" ht="15">
      <c r="A250" s="152" t="s">
        <v>444</v>
      </c>
      <c r="C250" s="105"/>
    </row>
    <row r="251" spans="1:3" s="19" customFormat="1" ht="15">
      <c r="A251" s="152" t="s">
        <v>445</v>
      </c>
      <c r="C251" s="105"/>
    </row>
    <row r="252" s="19" customFormat="1" ht="15">
      <c r="C252" s="105"/>
    </row>
    <row r="253" s="19" customFormat="1" ht="15">
      <c r="C253" s="105"/>
    </row>
    <row r="254" s="19" customFormat="1" ht="15">
      <c r="C254" s="105"/>
    </row>
    <row r="255" s="19" customFormat="1" ht="15">
      <c r="C255" s="105"/>
    </row>
    <row r="256" s="19" customFormat="1" ht="15">
      <c r="C256" s="105"/>
    </row>
    <row r="257" spans="3:22" ht="15">
      <c r="C257" s="10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U257" s="4"/>
      <c r="V257" s="4"/>
    </row>
    <row r="258" spans="3:22" ht="15">
      <c r="C258" s="10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U258" s="4"/>
      <c r="V258" s="4"/>
    </row>
    <row r="259" spans="3:22" ht="15">
      <c r="C259" s="10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U259" s="4"/>
      <c r="V259" s="4"/>
    </row>
  </sheetData>
  <sheetProtection/>
  <mergeCells count="11">
    <mergeCell ref="A239:V239"/>
    <mergeCell ref="A13:A14"/>
    <mergeCell ref="A9:V9"/>
    <mergeCell ref="A232:B232"/>
    <mergeCell ref="E13:P13"/>
    <mergeCell ref="B13:B14"/>
    <mergeCell ref="B3:B4"/>
    <mergeCell ref="A5:V5"/>
    <mergeCell ref="A6:V6"/>
    <mergeCell ref="A7:V7"/>
    <mergeCell ref="A8:V8"/>
  </mergeCells>
  <printOptions/>
  <pageMargins left="0.17" right="0.17" top="0.26" bottom="0.22" header="0.23" footer="0.17"/>
  <pageSetup horizontalDpi="600" verticalDpi="600" orientation="landscape" paperSize="153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99">
      <selection activeCell="F120" sqref="F120"/>
    </sheetView>
  </sheetViews>
  <sheetFormatPr defaultColWidth="11.421875" defaultRowHeight="15"/>
  <cols>
    <col min="1" max="1" width="9.28125" style="0" bestFit="1" customWidth="1"/>
    <col min="2" max="2" width="67.00390625" style="0" customWidth="1"/>
    <col min="3" max="3" width="16.8515625" style="157" customWidth="1"/>
    <col min="4" max="4" width="17.57421875" style="181" customWidth="1"/>
    <col min="5" max="5" width="15.140625" style="187" bestFit="1" customWidth="1"/>
    <col min="6" max="7" width="15.140625" style="187" customWidth="1"/>
    <col min="8" max="8" width="13.421875" style="0" bestFit="1" customWidth="1"/>
  </cols>
  <sheetData>
    <row r="1" spans="1:36" ht="15">
      <c r="A1" s="4"/>
      <c r="B1" s="4"/>
      <c r="C1" s="101"/>
      <c r="D1" s="105"/>
      <c r="E1" s="105"/>
      <c r="F1" s="105"/>
      <c r="G1" s="10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4"/>
      <c r="AH1" s="4"/>
      <c r="AI1" s="19"/>
      <c r="AJ1" s="19"/>
    </row>
    <row r="2" spans="1:36" ht="15">
      <c r="A2" s="4"/>
      <c r="B2" s="4"/>
      <c r="C2" s="101"/>
      <c r="D2" s="105"/>
      <c r="E2" s="105"/>
      <c r="F2" s="105"/>
      <c r="G2" s="10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4"/>
      <c r="AH2" s="4"/>
      <c r="AI2" s="19"/>
      <c r="AJ2" s="19"/>
    </row>
    <row r="3" spans="1:36" ht="15">
      <c r="A3" s="2"/>
      <c r="B3" s="208"/>
      <c r="C3" s="102"/>
      <c r="D3" s="178"/>
      <c r="E3" s="178"/>
      <c r="F3" s="178"/>
      <c r="G3" s="17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2"/>
      <c r="AJ3" s="2"/>
    </row>
    <row r="4" spans="1:36" ht="15">
      <c r="A4" s="2"/>
      <c r="B4" s="208"/>
      <c r="C4" s="102"/>
      <c r="D4" s="178"/>
      <c r="E4" s="178"/>
      <c r="F4" s="178"/>
      <c r="G4" s="17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3"/>
      <c r="AI4" s="2"/>
      <c r="AJ4" s="2"/>
    </row>
    <row r="5" spans="1:36" ht="18.75">
      <c r="A5" s="209" t="s">
        <v>0</v>
      </c>
      <c r="B5" s="209"/>
      <c r="C5" s="209"/>
      <c r="D5" s="179"/>
      <c r="E5" s="179"/>
      <c r="F5" s="179"/>
      <c r="G5" s="179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1">
      <c r="A6" s="210" t="s">
        <v>1</v>
      </c>
      <c r="B6" s="210"/>
      <c r="C6" s="210"/>
      <c r="D6" s="180"/>
      <c r="E6" s="180"/>
      <c r="F6" s="180"/>
      <c r="G6" s="180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8.75">
      <c r="A7" s="209" t="s">
        <v>2</v>
      </c>
      <c r="B7" s="209"/>
      <c r="C7" s="209"/>
      <c r="D7" s="179"/>
      <c r="E7" s="179"/>
      <c r="F7" s="179"/>
      <c r="G7" s="179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ht="21">
      <c r="A8" s="210" t="s">
        <v>3</v>
      </c>
      <c r="B8" s="210"/>
      <c r="C8" s="210"/>
      <c r="D8" s="180"/>
      <c r="E8" s="180"/>
      <c r="F8" s="180"/>
      <c r="G8" s="180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8.75">
      <c r="A9" s="209" t="s">
        <v>446</v>
      </c>
      <c r="B9" s="209"/>
      <c r="C9" s="209"/>
      <c r="D9" s="179"/>
      <c r="E9" s="179"/>
      <c r="F9" s="179"/>
      <c r="G9" s="179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ht="15.75" thickBot="1"/>
    <row r="11" spans="1:4" ht="16.5" thickBot="1">
      <c r="A11" s="219" t="s">
        <v>459</v>
      </c>
      <c r="B11" s="220"/>
      <c r="C11" s="221"/>
      <c r="D11" s="182"/>
    </row>
    <row r="12" spans="1:3" ht="15.75">
      <c r="A12" s="155" t="s">
        <v>447</v>
      </c>
      <c r="B12" s="155" t="s">
        <v>448</v>
      </c>
      <c r="C12" s="156" t="s">
        <v>449</v>
      </c>
    </row>
    <row r="13" spans="1:4" ht="15">
      <c r="A13" s="161" t="s">
        <v>401</v>
      </c>
      <c r="B13" s="161" t="s">
        <v>450</v>
      </c>
      <c r="C13" s="163">
        <v>68775000</v>
      </c>
      <c r="D13" s="183" t="s">
        <v>11</v>
      </c>
    </row>
    <row r="14" spans="1:4" ht="15.75" thickBot="1">
      <c r="A14" s="161"/>
      <c r="B14" s="170" t="s">
        <v>479</v>
      </c>
      <c r="C14" s="171">
        <f>SUM(C13)</f>
        <v>68775000</v>
      </c>
      <c r="D14" s="183"/>
    </row>
    <row r="15" spans="1:4" ht="15.75" thickTop="1">
      <c r="A15" s="161"/>
      <c r="B15" s="170"/>
      <c r="C15" s="172"/>
      <c r="D15" s="183"/>
    </row>
    <row r="16" spans="1:4" ht="15">
      <c r="A16" s="161"/>
      <c r="B16" s="170"/>
      <c r="C16" s="172"/>
      <c r="D16" s="183"/>
    </row>
    <row r="17" spans="1:4" ht="15.75">
      <c r="A17" s="218" t="s">
        <v>460</v>
      </c>
      <c r="B17" s="218"/>
      <c r="C17" s="218"/>
      <c r="D17" s="218"/>
    </row>
    <row r="18" spans="1:4" ht="15.75">
      <c r="A18" s="173" t="s">
        <v>447</v>
      </c>
      <c r="B18" s="173" t="s">
        <v>448</v>
      </c>
      <c r="C18" s="174" t="s">
        <v>449</v>
      </c>
      <c r="D18" s="183"/>
    </row>
    <row r="19" spans="1:4" ht="15">
      <c r="A19" s="161" t="s">
        <v>174</v>
      </c>
      <c r="B19" s="161" t="s">
        <v>451</v>
      </c>
      <c r="C19" s="162">
        <v>2682842.32</v>
      </c>
      <c r="D19" s="183" t="s">
        <v>12</v>
      </c>
    </row>
    <row r="20" spans="1:4" ht="15.75" thickBot="1">
      <c r="A20" s="161"/>
      <c r="B20" s="170" t="s">
        <v>479</v>
      </c>
      <c r="C20" s="171">
        <f>SUM(C19)</f>
        <v>2682842.32</v>
      </c>
      <c r="D20" s="183"/>
    </row>
    <row r="21" spans="1:4" ht="15.75" thickTop="1">
      <c r="A21" s="161"/>
      <c r="B21" s="161"/>
      <c r="C21" s="162"/>
      <c r="D21" s="183"/>
    </row>
    <row r="22" spans="1:4" ht="15.75" thickBot="1">
      <c r="A22" s="161"/>
      <c r="B22" s="161"/>
      <c r="C22" s="162"/>
      <c r="D22" s="183"/>
    </row>
    <row r="23" spans="1:4" ht="16.5" thickBot="1">
      <c r="A23" s="222" t="s">
        <v>461</v>
      </c>
      <c r="B23" s="223"/>
      <c r="C23" s="224"/>
      <c r="D23" s="184"/>
    </row>
    <row r="24" spans="1:4" ht="15.75">
      <c r="A24" s="173" t="s">
        <v>447</v>
      </c>
      <c r="B24" s="173" t="s">
        <v>448</v>
      </c>
      <c r="C24" s="174" t="s">
        <v>449</v>
      </c>
      <c r="D24" s="183"/>
    </row>
    <row r="25" spans="1:4" ht="15">
      <c r="A25" s="161" t="s">
        <v>195</v>
      </c>
      <c r="B25" s="161" t="s">
        <v>452</v>
      </c>
      <c r="C25" s="162">
        <v>252310</v>
      </c>
      <c r="D25" s="183" t="s">
        <v>453</v>
      </c>
    </row>
    <row r="26" spans="1:4" ht="15">
      <c r="A26" s="161" t="s">
        <v>152</v>
      </c>
      <c r="B26" s="161" t="s">
        <v>454</v>
      </c>
      <c r="C26" s="162">
        <v>185000</v>
      </c>
      <c r="D26" s="183" t="s">
        <v>13</v>
      </c>
    </row>
    <row r="27" spans="1:4" ht="15">
      <c r="A27" s="161" t="s">
        <v>319</v>
      </c>
      <c r="B27" s="161" t="s">
        <v>455</v>
      </c>
      <c r="C27" s="162">
        <v>28000</v>
      </c>
      <c r="D27" s="183" t="s">
        <v>13</v>
      </c>
    </row>
    <row r="28" spans="1:4" ht="15">
      <c r="A28" s="161" t="s">
        <v>456</v>
      </c>
      <c r="B28" s="161" t="s">
        <v>457</v>
      </c>
      <c r="C28" s="162">
        <v>2934070</v>
      </c>
      <c r="D28" s="183" t="s">
        <v>13</v>
      </c>
    </row>
    <row r="29" spans="1:4" ht="15.75" thickBot="1">
      <c r="A29" s="161"/>
      <c r="B29" s="170" t="s">
        <v>479</v>
      </c>
      <c r="C29" s="171">
        <f>SUM(C25:C28)</f>
        <v>3399380</v>
      </c>
      <c r="D29" s="183"/>
    </row>
    <row r="30" spans="1:4" ht="15.75" thickTop="1">
      <c r="A30" s="161"/>
      <c r="B30" s="170"/>
      <c r="C30" s="172"/>
      <c r="D30" s="183"/>
    </row>
    <row r="31" spans="1:4" ht="15.75" thickBot="1">
      <c r="A31" s="161"/>
      <c r="B31" s="170"/>
      <c r="C31" s="172"/>
      <c r="D31" s="183"/>
    </row>
    <row r="32" spans="1:4" ht="16.5" thickBot="1">
      <c r="A32" s="222" t="s">
        <v>462</v>
      </c>
      <c r="B32" s="223"/>
      <c r="C32" s="224"/>
      <c r="D32" s="184"/>
    </row>
    <row r="33" spans="1:4" ht="15.75">
      <c r="A33" s="173" t="s">
        <v>447</v>
      </c>
      <c r="B33" s="173" t="s">
        <v>448</v>
      </c>
      <c r="C33" s="174" t="s">
        <v>449</v>
      </c>
      <c r="D33" s="183"/>
    </row>
    <row r="34" spans="1:4" ht="15">
      <c r="A34" s="161" t="s">
        <v>146</v>
      </c>
      <c r="B34" s="161" t="s">
        <v>463</v>
      </c>
      <c r="C34" s="162">
        <v>7110500</v>
      </c>
      <c r="D34" s="183" t="s">
        <v>255</v>
      </c>
    </row>
    <row r="35" spans="1:4" ht="15">
      <c r="A35" s="161" t="s">
        <v>148</v>
      </c>
      <c r="B35" s="161" t="s">
        <v>458</v>
      </c>
      <c r="C35" s="162">
        <v>879590</v>
      </c>
      <c r="D35" s="183" t="s">
        <v>255</v>
      </c>
    </row>
    <row r="36" spans="1:4" ht="15">
      <c r="A36" s="161" t="s">
        <v>152</v>
      </c>
      <c r="B36" s="161" t="s">
        <v>454</v>
      </c>
      <c r="C36" s="162">
        <v>79160</v>
      </c>
      <c r="D36" s="183" t="s">
        <v>255</v>
      </c>
    </row>
    <row r="37" spans="1:4" ht="15">
      <c r="A37" s="161" t="s">
        <v>319</v>
      </c>
      <c r="B37" s="161" t="s">
        <v>455</v>
      </c>
      <c r="C37" s="162">
        <v>13389</v>
      </c>
      <c r="D37" s="183" t="s">
        <v>255</v>
      </c>
    </row>
    <row r="38" spans="1:4" ht="15">
      <c r="A38" s="161" t="s">
        <v>430</v>
      </c>
      <c r="B38" s="161" t="s">
        <v>464</v>
      </c>
      <c r="C38" s="162">
        <v>4995000</v>
      </c>
      <c r="D38" s="183" t="s">
        <v>466</v>
      </c>
    </row>
    <row r="39" spans="1:4" ht="15">
      <c r="A39" s="161" t="s">
        <v>148</v>
      </c>
      <c r="B39" s="161" t="s">
        <v>458</v>
      </c>
      <c r="C39" s="162">
        <v>801900</v>
      </c>
      <c r="D39" s="183" t="s">
        <v>466</v>
      </c>
    </row>
    <row r="40" spans="1:4" ht="15">
      <c r="A40" s="161" t="s">
        <v>372</v>
      </c>
      <c r="B40" s="161" t="s">
        <v>465</v>
      </c>
      <c r="C40" s="162">
        <v>999000</v>
      </c>
      <c r="D40" s="183" t="s">
        <v>466</v>
      </c>
    </row>
    <row r="41" spans="1:4" ht="15">
      <c r="A41" s="161" t="s">
        <v>429</v>
      </c>
      <c r="B41" s="161" t="s">
        <v>467</v>
      </c>
      <c r="C41" s="162">
        <v>108137075.33</v>
      </c>
      <c r="D41" s="183" t="s">
        <v>255</v>
      </c>
    </row>
    <row r="42" spans="1:4" ht="15.75" thickBot="1">
      <c r="A42" s="161"/>
      <c r="B42" s="170" t="s">
        <v>479</v>
      </c>
      <c r="C42" s="171">
        <f>SUM(C34:C41)</f>
        <v>123015614.33</v>
      </c>
      <c r="D42" s="183"/>
    </row>
    <row r="43" spans="1:4" ht="15.75" thickTop="1">
      <c r="A43" s="161"/>
      <c r="B43" s="161"/>
      <c r="C43" s="162"/>
      <c r="D43" s="183"/>
    </row>
    <row r="44" spans="1:4" ht="15">
      <c r="A44" s="161"/>
      <c r="B44" s="161"/>
      <c r="C44" s="162"/>
      <c r="D44" s="183"/>
    </row>
    <row r="45" spans="1:4" ht="15.75" thickBot="1">
      <c r="A45" s="161"/>
      <c r="B45" s="161"/>
      <c r="C45" s="162"/>
      <c r="D45" s="183"/>
    </row>
    <row r="46" spans="1:4" ht="16.5" thickBot="1">
      <c r="A46" s="222" t="s">
        <v>468</v>
      </c>
      <c r="B46" s="223"/>
      <c r="C46" s="224"/>
      <c r="D46" s="184"/>
    </row>
    <row r="47" spans="1:4" ht="15.75">
      <c r="A47" s="173" t="s">
        <v>447</v>
      </c>
      <c r="B47" s="173" t="s">
        <v>448</v>
      </c>
      <c r="C47" s="174" t="s">
        <v>449</v>
      </c>
      <c r="D47" s="183"/>
    </row>
    <row r="48" spans="1:4" ht="15">
      <c r="A48" s="161" t="s">
        <v>146</v>
      </c>
      <c r="B48" s="161" t="s">
        <v>463</v>
      </c>
      <c r="C48" s="162">
        <v>1900000</v>
      </c>
      <c r="D48" s="183"/>
    </row>
    <row r="49" spans="1:4" ht="15">
      <c r="A49" s="161" t="s">
        <v>152</v>
      </c>
      <c r="B49" s="161" t="s">
        <v>454</v>
      </c>
      <c r="C49" s="162">
        <v>55550</v>
      </c>
      <c r="D49" s="183"/>
    </row>
    <row r="50" spans="1:4" ht="15">
      <c r="A50" s="161" t="s">
        <v>319</v>
      </c>
      <c r="B50" s="161" t="s">
        <v>455</v>
      </c>
      <c r="C50" s="162">
        <v>9402</v>
      </c>
      <c r="D50" s="183"/>
    </row>
    <row r="51" spans="1:4" ht="15">
      <c r="A51" s="161" t="s">
        <v>148</v>
      </c>
      <c r="B51" s="161" t="s">
        <v>458</v>
      </c>
      <c r="C51" s="162">
        <v>330000</v>
      </c>
      <c r="D51" s="183"/>
    </row>
    <row r="52" spans="1:4" ht="15.75" thickBot="1">
      <c r="A52" s="161"/>
      <c r="B52" s="170" t="s">
        <v>479</v>
      </c>
      <c r="C52" s="171">
        <f>SUM(C48:C51)</f>
        <v>2294952</v>
      </c>
      <c r="D52" s="183"/>
    </row>
    <row r="53" spans="1:4" ht="15.75" thickTop="1">
      <c r="A53" s="161"/>
      <c r="B53" s="161"/>
      <c r="C53" s="162"/>
      <c r="D53" s="183"/>
    </row>
    <row r="54" spans="1:4" ht="15.75" thickBot="1">
      <c r="A54" s="161"/>
      <c r="B54" s="161"/>
      <c r="C54" s="162"/>
      <c r="D54" s="183"/>
    </row>
    <row r="55" spans="1:4" ht="16.5" thickBot="1">
      <c r="A55" s="222" t="s">
        <v>471</v>
      </c>
      <c r="B55" s="223"/>
      <c r="C55" s="224"/>
      <c r="D55" s="184"/>
    </row>
    <row r="56" spans="1:4" ht="15.75">
      <c r="A56" s="173" t="s">
        <v>447</v>
      </c>
      <c r="B56" s="173" t="s">
        <v>448</v>
      </c>
      <c r="C56" s="174" t="s">
        <v>449</v>
      </c>
      <c r="D56" s="183"/>
    </row>
    <row r="57" spans="1:4" ht="15">
      <c r="A57" s="161" t="s">
        <v>248</v>
      </c>
      <c r="B57" s="161" t="s">
        <v>469</v>
      </c>
      <c r="C57" s="162">
        <v>12471589.5</v>
      </c>
      <c r="D57" s="183"/>
    </row>
    <row r="58" spans="1:4" ht="15">
      <c r="A58" s="161" t="s">
        <v>249</v>
      </c>
      <c r="B58" s="161" t="s">
        <v>470</v>
      </c>
      <c r="C58" s="162">
        <v>2124388.5</v>
      </c>
      <c r="D58" s="183"/>
    </row>
    <row r="59" spans="1:4" ht="15">
      <c r="A59" s="161" t="s">
        <v>391</v>
      </c>
      <c r="B59" s="161" t="s">
        <v>472</v>
      </c>
      <c r="C59" s="162">
        <v>3250000</v>
      </c>
      <c r="D59" s="183"/>
    </row>
    <row r="60" spans="1:4" ht="15">
      <c r="A60" s="161" t="s">
        <v>473</v>
      </c>
      <c r="B60" s="161" t="s">
        <v>474</v>
      </c>
      <c r="C60" s="162">
        <v>58601990</v>
      </c>
      <c r="D60" s="183"/>
    </row>
    <row r="61" spans="1:4" ht="15">
      <c r="A61" s="161" t="s">
        <v>391</v>
      </c>
      <c r="B61" s="161" t="s">
        <v>475</v>
      </c>
      <c r="C61" s="162">
        <v>3319930</v>
      </c>
      <c r="D61" s="183"/>
    </row>
    <row r="62" spans="1:4" ht="15">
      <c r="A62" s="161" t="s">
        <v>195</v>
      </c>
      <c r="B62" s="161" t="s">
        <v>452</v>
      </c>
      <c r="C62" s="162">
        <v>1000000</v>
      </c>
      <c r="D62" s="183"/>
    </row>
    <row r="63" spans="1:4" ht="15">
      <c r="A63" s="161" t="s">
        <v>196</v>
      </c>
      <c r="B63" s="161" t="s">
        <v>476</v>
      </c>
      <c r="C63" s="162">
        <v>1000000</v>
      </c>
      <c r="D63" s="183"/>
    </row>
    <row r="64" spans="1:4" ht="15.75" thickBot="1">
      <c r="A64" s="161"/>
      <c r="B64" s="170" t="s">
        <v>479</v>
      </c>
      <c r="C64" s="171">
        <f>SUM(C57:C63)</f>
        <v>81767898</v>
      </c>
      <c r="D64" s="183"/>
    </row>
    <row r="65" spans="1:4" ht="15.75" thickTop="1">
      <c r="A65" s="161"/>
      <c r="B65" s="161"/>
      <c r="C65" s="162"/>
      <c r="D65" s="183"/>
    </row>
    <row r="66" spans="1:4" ht="15.75" thickBot="1">
      <c r="A66" s="161"/>
      <c r="B66" s="161"/>
      <c r="C66" s="162"/>
      <c r="D66" s="183"/>
    </row>
    <row r="67" spans="1:4" ht="16.5" thickBot="1">
      <c r="A67" s="222" t="s">
        <v>477</v>
      </c>
      <c r="B67" s="223"/>
      <c r="C67" s="224"/>
      <c r="D67" s="184"/>
    </row>
    <row r="68" spans="1:4" ht="15.75">
      <c r="A68" s="173" t="s">
        <v>447</v>
      </c>
      <c r="B68" s="173" t="s">
        <v>448</v>
      </c>
      <c r="C68" s="174" t="s">
        <v>449</v>
      </c>
      <c r="D68" s="183"/>
    </row>
    <row r="69" spans="1:4" ht="15">
      <c r="A69" s="161" t="s">
        <v>146</v>
      </c>
      <c r="B69" s="161" t="s">
        <v>463</v>
      </c>
      <c r="C69" s="162">
        <v>2525205.62</v>
      </c>
      <c r="D69" s="183"/>
    </row>
    <row r="70" spans="1:4" ht="15">
      <c r="A70" s="161" t="s">
        <v>195</v>
      </c>
      <c r="B70" s="161" t="s">
        <v>452</v>
      </c>
      <c r="C70" s="162">
        <v>1000000</v>
      </c>
      <c r="D70" s="183"/>
    </row>
    <row r="71" spans="1:4" ht="15">
      <c r="A71" s="161" t="s">
        <v>196</v>
      </c>
      <c r="B71" s="161" t="s">
        <v>476</v>
      </c>
      <c r="C71" s="162">
        <v>1000000</v>
      </c>
      <c r="D71" s="183"/>
    </row>
    <row r="72" spans="2:3" ht="15.75" thickBot="1">
      <c r="B72" s="159" t="s">
        <v>479</v>
      </c>
      <c r="C72" s="158">
        <f>SUM(C69:C71)</f>
        <v>4525205.62</v>
      </c>
    </row>
    <row r="73" ht="15.75" thickTop="1"/>
    <row r="74" spans="2:3" ht="15.75" thickBot="1">
      <c r="B74" s="159" t="s">
        <v>478</v>
      </c>
      <c r="C74" s="160">
        <f>+C72+C64+C52+C42+C29+C20+C14</f>
        <v>286460892.27</v>
      </c>
    </row>
    <row r="75" ht="15.75" thickTop="1"/>
    <row r="78" ht="15.75" thickBot="1"/>
    <row r="79" spans="1:3" ht="16.5" thickBot="1">
      <c r="A79" s="225" t="s">
        <v>481</v>
      </c>
      <c r="B79" s="226"/>
      <c r="C79" s="227"/>
    </row>
    <row r="80" spans="1:3" ht="15">
      <c r="A80" s="175" t="s">
        <v>146</v>
      </c>
      <c r="B80" s="175" t="s">
        <v>463</v>
      </c>
      <c r="C80" s="176">
        <f>+C69+C48+C34</f>
        <v>11535705.620000001</v>
      </c>
    </row>
    <row r="81" spans="1:3" ht="15">
      <c r="A81" s="164" t="s">
        <v>430</v>
      </c>
      <c r="B81" s="164" t="s">
        <v>464</v>
      </c>
      <c r="C81" s="165">
        <v>4995000</v>
      </c>
    </row>
    <row r="82" spans="1:3" ht="15">
      <c r="A82" s="166" t="s">
        <v>148</v>
      </c>
      <c r="B82" s="166" t="s">
        <v>458</v>
      </c>
      <c r="C82" s="167">
        <v>801900</v>
      </c>
    </row>
    <row r="83" spans="1:3" ht="15">
      <c r="A83" s="166" t="s">
        <v>372</v>
      </c>
      <c r="B83" s="166" t="s">
        <v>465</v>
      </c>
      <c r="C83" s="167">
        <v>999000</v>
      </c>
    </row>
    <row r="84" spans="1:3" ht="15">
      <c r="A84" s="164" t="s">
        <v>152</v>
      </c>
      <c r="B84" s="164" t="s">
        <v>454</v>
      </c>
      <c r="C84" s="167">
        <f>+C49+C36+C26</f>
        <v>319710</v>
      </c>
    </row>
    <row r="85" spans="1:3" ht="15">
      <c r="A85" s="164" t="s">
        <v>319</v>
      </c>
      <c r="B85" s="164" t="s">
        <v>455</v>
      </c>
      <c r="C85" s="167">
        <f>+C50+C37+C27</f>
        <v>50791</v>
      </c>
    </row>
    <row r="86" spans="1:3" ht="15">
      <c r="A86" s="164" t="s">
        <v>148</v>
      </c>
      <c r="B86" s="164" t="s">
        <v>458</v>
      </c>
      <c r="C86" s="167">
        <f>+C51+C35</f>
        <v>1209590</v>
      </c>
    </row>
    <row r="87" spans="1:3" ht="15">
      <c r="A87" s="164" t="s">
        <v>429</v>
      </c>
      <c r="B87" s="164" t="s">
        <v>467</v>
      </c>
      <c r="C87" s="165">
        <v>108137075.33</v>
      </c>
    </row>
    <row r="88" spans="1:3" ht="15">
      <c r="A88" s="164" t="s">
        <v>174</v>
      </c>
      <c r="B88" s="164" t="s">
        <v>451</v>
      </c>
      <c r="C88" s="165">
        <v>2682842.32</v>
      </c>
    </row>
    <row r="89" spans="1:3" ht="15">
      <c r="A89" s="164" t="s">
        <v>248</v>
      </c>
      <c r="B89" s="164" t="s">
        <v>469</v>
      </c>
      <c r="C89" s="165">
        <v>12471589.5</v>
      </c>
    </row>
    <row r="90" spans="1:3" ht="15">
      <c r="A90" s="164" t="s">
        <v>249</v>
      </c>
      <c r="B90" s="164" t="s">
        <v>470</v>
      </c>
      <c r="C90" s="165">
        <v>2124388.5</v>
      </c>
    </row>
    <row r="91" spans="1:3" ht="15">
      <c r="A91" s="164" t="s">
        <v>391</v>
      </c>
      <c r="B91" s="164" t="s">
        <v>475</v>
      </c>
      <c r="C91" s="165">
        <f>+C61+C59</f>
        <v>6569930</v>
      </c>
    </row>
    <row r="92" spans="1:3" ht="15">
      <c r="A92" s="164" t="s">
        <v>195</v>
      </c>
      <c r="B92" s="164" t="s">
        <v>452</v>
      </c>
      <c r="C92" s="165">
        <f>+C70+C62+C25</f>
        <v>2252310</v>
      </c>
    </row>
    <row r="93" spans="1:3" ht="15">
      <c r="A93" s="164" t="s">
        <v>196</v>
      </c>
      <c r="B93" s="164" t="s">
        <v>476</v>
      </c>
      <c r="C93" s="165">
        <f>+C71+C63</f>
        <v>2000000</v>
      </c>
    </row>
    <row r="94" spans="1:3" ht="15">
      <c r="A94" s="164" t="s">
        <v>401</v>
      </c>
      <c r="B94" s="164" t="s">
        <v>450</v>
      </c>
      <c r="C94" s="165">
        <v>68775000</v>
      </c>
    </row>
    <row r="95" spans="1:3" ht="15">
      <c r="A95" s="164" t="s">
        <v>456</v>
      </c>
      <c r="B95" s="164" t="s">
        <v>457</v>
      </c>
      <c r="C95" s="165">
        <v>2934070</v>
      </c>
    </row>
    <row r="96" spans="1:3" ht="15">
      <c r="A96" s="164" t="s">
        <v>473</v>
      </c>
      <c r="B96" s="164" t="s">
        <v>474</v>
      </c>
      <c r="C96" s="165">
        <v>58601990</v>
      </c>
    </row>
    <row r="97" spans="1:3" ht="15.75" thickBot="1">
      <c r="A97" s="168"/>
      <c r="B97" s="169" t="s">
        <v>480</v>
      </c>
      <c r="C97" s="158">
        <f>SUM(C80:C96)</f>
        <v>286460892.27</v>
      </c>
    </row>
    <row r="98" ht="15.75" thickTop="1"/>
    <row r="99" ht="15.75" thickBot="1"/>
    <row r="100" spans="1:3" ht="16.5" thickBot="1">
      <c r="A100" s="225" t="s">
        <v>481</v>
      </c>
      <c r="B100" s="226"/>
      <c r="C100" s="227"/>
    </row>
    <row r="101" spans="1:7" ht="15">
      <c r="A101" s="175" t="s">
        <v>146</v>
      </c>
      <c r="B101" s="175" t="s">
        <v>463</v>
      </c>
      <c r="C101" s="193">
        <f>86640281.62+86640281.62+84115076+84115076+82215076+82215076+82215076+82215076+75104576+75191421+75191421</f>
        <v>895858437.24</v>
      </c>
      <c r="D101" s="187" t="s">
        <v>501</v>
      </c>
      <c r="E101" s="187" t="s">
        <v>502</v>
      </c>
      <c r="F101" s="187" t="s">
        <v>503</v>
      </c>
      <c r="G101" s="187" t="s">
        <v>504</v>
      </c>
    </row>
    <row r="102" spans="1:8" ht="15">
      <c r="A102" s="164" t="s">
        <v>430</v>
      </c>
      <c r="B102" s="164" t="s">
        <v>487</v>
      </c>
      <c r="C102" s="167">
        <v>4995000</v>
      </c>
      <c r="D102" s="181">
        <v>15387090</v>
      </c>
      <c r="E102" s="187">
        <v>75191421</v>
      </c>
      <c r="F102" s="187">
        <v>1235000</v>
      </c>
      <c r="G102" s="187">
        <v>192000</v>
      </c>
      <c r="H102" t="s">
        <v>491</v>
      </c>
    </row>
    <row r="103" spans="1:8" ht="15">
      <c r="A103" s="166" t="s">
        <v>148</v>
      </c>
      <c r="B103" s="166" t="s">
        <v>458</v>
      </c>
      <c r="C103" s="167">
        <v>801900</v>
      </c>
      <c r="D103" s="181">
        <v>15387090</v>
      </c>
      <c r="E103" s="187">
        <v>75191421</v>
      </c>
      <c r="F103" s="187">
        <v>1235000</v>
      </c>
      <c r="G103" s="187">
        <v>192000</v>
      </c>
      <c r="H103" t="s">
        <v>493</v>
      </c>
    </row>
    <row r="104" spans="1:8" ht="15">
      <c r="A104" s="166" t="s">
        <v>372</v>
      </c>
      <c r="B104" s="166" t="s">
        <v>465</v>
      </c>
      <c r="C104" s="167">
        <v>999000</v>
      </c>
      <c r="D104" s="181">
        <v>15639400</v>
      </c>
      <c r="E104" s="187">
        <v>75104576</v>
      </c>
      <c r="F104" s="187">
        <v>1420000</v>
      </c>
      <c r="G104" s="187">
        <v>220000</v>
      </c>
      <c r="H104" t="s">
        <v>492</v>
      </c>
    </row>
    <row r="105" spans="1:8" ht="15">
      <c r="A105" s="164" t="s">
        <v>152</v>
      </c>
      <c r="B105" s="164" t="s">
        <v>454</v>
      </c>
      <c r="C105" s="167">
        <f>1554710+1554710+1554710+1554710+1499160+1499160+1499160+1499160+1420000+1235000+1235000</f>
        <v>16105480</v>
      </c>
      <c r="D105" s="181">
        <v>16518990</v>
      </c>
      <c r="E105" s="187">
        <v>82215076</v>
      </c>
      <c r="F105" s="187">
        <v>1499160</v>
      </c>
      <c r="G105" s="187">
        <v>233398</v>
      </c>
      <c r="H105" t="s">
        <v>494</v>
      </c>
    </row>
    <row r="106" spans="1:8" ht="15">
      <c r="A106" s="164" t="s">
        <v>319</v>
      </c>
      <c r="B106" s="164" t="s">
        <v>455</v>
      </c>
      <c r="C106" s="167">
        <f>242800+242800+242800+242800+233398+233398+233398+233398+220000+192000+192000</f>
        <v>2508792</v>
      </c>
      <c r="D106" s="181">
        <v>16518990</v>
      </c>
      <c r="E106" s="187">
        <v>82215076</v>
      </c>
      <c r="F106" s="187">
        <v>1499160</v>
      </c>
      <c r="G106" s="187">
        <v>233398</v>
      </c>
      <c r="H106" t="s">
        <v>495</v>
      </c>
    </row>
    <row r="107" spans="1:8" ht="15">
      <c r="A107" s="164" t="s">
        <v>429</v>
      </c>
      <c r="B107" s="164" t="s">
        <v>486</v>
      </c>
      <c r="C107" s="167">
        <v>108137017.73</v>
      </c>
      <c r="D107" s="181">
        <v>16518990</v>
      </c>
      <c r="E107" s="187">
        <v>82215076</v>
      </c>
      <c r="F107" s="187">
        <v>1499160</v>
      </c>
      <c r="G107" s="187">
        <v>233398</v>
      </c>
      <c r="H107" t="s">
        <v>496</v>
      </c>
    </row>
    <row r="108" spans="1:8" ht="15">
      <c r="A108" s="164" t="s">
        <v>174</v>
      </c>
      <c r="B108" s="164" t="s">
        <v>488</v>
      </c>
      <c r="C108" s="167">
        <v>2682842.32</v>
      </c>
      <c r="D108" s="181">
        <v>16518990</v>
      </c>
      <c r="E108" s="187">
        <v>82215076</v>
      </c>
      <c r="F108" s="187">
        <v>1499160</v>
      </c>
      <c r="G108" s="187">
        <v>233398</v>
      </c>
      <c r="H108" t="s">
        <v>497</v>
      </c>
    </row>
    <row r="109" spans="1:8" ht="15">
      <c r="A109" s="164" t="s">
        <v>248</v>
      </c>
      <c r="B109" s="164" t="s">
        <v>485</v>
      </c>
      <c r="C109" s="167">
        <v>12471589.5</v>
      </c>
      <c r="D109" s="181">
        <v>16848990</v>
      </c>
      <c r="E109" s="187">
        <v>84115076</v>
      </c>
      <c r="F109" s="187">
        <v>1554710</v>
      </c>
      <c r="G109" s="187">
        <v>242800</v>
      </c>
      <c r="H109" t="s">
        <v>498</v>
      </c>
    </row>
    <row r="110" spans="1:8" ht="15">
      <c r="A110" s="164" t="s">
        <v>249</v>
      </c>
      <c r="B110" s="164" t="s">
        <v>470</v>
      </c>
      <c r="C110" s="167">
        <v>5124388.5</v>
      </c>
      <c r="D110" s="181">
        <v>16848990</v>
      </c>
      <c r="E110" s="187">
        <v>84115076</v>
      </c>
      <c r="F110" s="187">
        <v>1554710</v>
      </c>
      <c r="G110" s="187">
        <v>242800</v>
      </c>
      <c r="H110" t="s">
        <v>499</v>
      </c>
    </row>
    <row r="111" spans="1:8" ht="15">
      <c r="A111" s="164" t="s">
        <v>391</v>
      </c>
      <c r="B111" s="164" t="s">
        <v>484</v>
      </c>
      <c r="C111" s="167">
        <f>3319930+3250000</f>
        <v>6569930</v>
      </c>
      <c r="D111" s="181">
        <v>16848990</v>
      </c>
      <c r="E111" s="187">
        <v>86640281.62</v>
      </c>
      <c r="F111" s="187">
        <v>1554710</v>
      </c>
      <c r="G111" s="187">
        <v>242800</v>
      </c>
      <c r="H111" t="s">
        <v>500</v>
      </c>
    </row>
    <row r="112" spans="1:8" ht="17.25">
      <c r="A112" s="164" t="s">
        <v>195</v>
      </c>
      <c r="B112" s="164" t="s">
        <v>452</v>
      </c>
      <c r="C112" s="167">
        <f>1000000+1000000+1000000+1000000</f>
        <v>4000000</v>
      </c>
      <c r="D112" s="185">
        <v>16848990</v>
      </c>
      <c r="E112" s="185">
        <v>86640281.62</v>
      </c>
      <c r="F112" s="185">
        <v>1554710</v>
      </c>
      <c r="G112" s="185">
        <v>242800</v>
      </c>
      <c r="H112" t="s">
        <v>490</v>
      </c>
    </row>
    <row r="113" spans="1:8" ht="17.25">
      <c r="A113" s="164" t="s">
        <v>196</v>
      </c>
      <c r="B113" s="164" t="s">
        <v>476</v>
      </c>
      <c r="C113" s="167">
        <f>1000000+1000000+1000000+1000000</f>
        <v>4000000</v>
      </c>
      <c r="D113" s="186">
        <f>SUM(D102:D112)</f>
        <v>179885500</v>
      </c>
      <c r="E113" s="186">
        <f>SUM(E102:E112)</f>
        <v>895858437.24</v>
      </c>
      <c r="F113" s="186">
        <f>SUM(F102:F112)</f>
        <v>16105480</v>
      </c>
      <c r="G113" s="186">
        <f>SUM(G102:G112)</f>
        <v>2508792</v>
      </c>
      <c r="H113" t="s">
        <v>506</v>
      </c>
    </row>
    <row r="114" spans="1:7" ht="15">
      <c r="A114" s="164" t="s">
        <v>401</v>
      </c>
      <c r="B114" s="164" t="s">
        <v>489</v>
      </c>
      <c r="C114" s="167">
        <v>68775000</v>
      </c>
      <c r="D114" s="190">
        <f>15387090*11</f>
        <v>169257990</v>
      </c>
      <c r="E114" s="187">
        <f>+E102*11</f>
        <v>827105631</v>
      </c>
      <c r="F114" s="187">
        <f>+F102*11</f>
        <v>13585000</v>
      </c>
      <c r="G114" s="187">
        <f>+G102*11</f>
        <v>2112000</v>
      </c>
    </row>
    <row r="115" spans="1:8" ht="15">
      <c r="A115" s="164" t="s">
        <v>456</v>
      </c>
      <c r="B115" s="164" t="s">
        <v>457</v>
      </c>
      <c r="C115" s="167">
        <v>2934070</v>
      </c>
      <c r="D115" s="191">
        <f>+D113-D114</f>
        <v>10627510</v>
      </c>
      <c r="E115" s="191">
        <f>+E113-E114</f>
        <v>68752806.24000001</v>
      </c>
      <c r="F115" s="191">
        <f>+F113-F114</f>
        <v>2520480</v>
      </c>
      <c r="G115" s="191">
        <f>+G113-G114</f>
        <v>396792</v>
      </c>
      <c r="H115" s="192" t="s">
        <v>505</v>
      </c>
    </row>
    <row r="116" spans="1:3" ht="15">
      <c r="A116" s="164" t="s">
        <v>473</v>
      </c>
      <c r="B116" s="164" t="s">
        <v>474</v>
      </c>
      <c r="C116" s="167">
        <v>58601990</v>
      </c>
    </row>
    <row r="117" spans="1:4" ht="15">
      <c r="A117" s="177" t="s">
        <v>328</v>
      </c>
      <c r="B117" s="29" t="s">
        <v>507</v>
      </c>
      <c r="C117" s="68">
        <v>32000000</v>
      </c>
      <c r="D117" s="187"/>
    </row>
    <row r="118" spans="1:3" ht="15.75" thickBot="1">
      <c r="A118" s="168"/>
      <c r="B118" s="169" t="s">
        <v>480</v>
      </c>
      <c r="C118" s="158">
        <f>+C101+C102+C103+C104+C105+C106+C107+C108+C109+C110+C111+C112+C113+C114+C115+C116+C117</f>
        <v>1226565437.29</v>
      </c>
    </row>
    <row r="119" ht="15.75" thickTop="1"/>
    <row r="120" ht="15.75" thickBot="1">
      <c r="C120" s="160">
        <f>+C118+D113</f>
        <v>1406450937.29</v>
      </c>
    </row>
    <row r="121" ht="15.75" thickTop="1"/>
  </sheetData>
  <sheetProtection/>
  <mergeCells count="15">
    <mergeCell ref="A32:C32"/>
    <mergeCell ref="A46:C46"/>
    <mergeCell ref="A9:C9"/>
    <mergeCell ref="A100:C100"/>
    <mergeCell ref="A8:C8"/>
    <mergeCell ref="A7:C7"/>
    <mergeCell ref="A55:C55"/>
    <mergeCell ref="A67:C67"/>
    <mergeCell ref="A79:C79"/>
    <mergeCell ref="B3:B4"/>
    <mergeCell ref="A17:D17"/>
    <mergeCell ref="A6:C6"/>
    <mergeCell ref="A5:C5"/>
    <mergeCell ref="A11:C11"/>
    <mergeCell ref="A23:C23"/>
  </mergeCells>
  <printOptions/>
  <pageMargins left="0.29" right="0.36" top="0.43" bottom="0.75" header="0.21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2022-01-06T22:31:58Z</cp:lastPrinted>
  <dcterms:created xsi:type="dcterms:W3CDTF">2019-01-09T20:58:22Z</dcterms:created>
  <dcterms:modified xsi:type="dcterms:W3CDTF">2022-01-17T13:51:09Z</dcterms:modified>
  <cp:category/>
  <cp:version/>
  <cp:contentType/>
  <cp:contentStatus/>
</cp:coreProperties>
</file>