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EJECUCIÓN 2023" sheetId="1" r:id="rId1"/>
  </sheets>
  <definedNames/>
  <calcPr fullCalcOnLoad="1"/>
</workbook>
</file>

<file path=xl/sharedStrings.xml><?xml version="1.0" encoding="utf-8"?>
<sst xmlns="http://schemas.openxmlformats.org/spreadsheetml/2006/main" count="357" uniqueCount="339">
  <si>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</si>
  <si>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</si>
  <si>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</si>
  <si>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</si>
  <si>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</si>
  <si>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</si>
  <si>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</si>
  <si>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</si>
  <si>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</si>
  <si>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</si>
  <si>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</si>
  <si>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</si>
  <si>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</si>
  <si>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</si>
  <si>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</si>
  <si>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</si>
  <si>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</si>
  <si>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</si>
  <si>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Compensación por gastos de alimentación</t>
  </si>
  <si>
    <t>Contribuciones al seguro de salud</t>
  </si>
  <si>
    <t>2.2.1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</si>
  <si>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</si>
  <si>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</si>
  <si>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</si>
  <si>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</si>
  <si>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</si>
  <si>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</si>
  <si>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</si>
  <si>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y propaganda</t>
  </si>
  <si>
    <t>2.2.3</t>
  </si>
  <si>
    <t>Viáticos dentro del país</t>
  </si>
  <si>
    <t>2.2.4</t>
  </si>
  <si>
    <t>2.2.5</t>
  </si>
  <si>
    <t>Alquileres y rentas de edificios y locales</t>
  </si>
  <si>
    <t>2.2.6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</si>
  <si>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</si>
  <si>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</si>
  <si>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</si>
  <si>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</si>
  <si>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</si>
  <si>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</si>
  <si>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</si>
  <si>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</si>
  <si>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</si>
  <si>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</si>
  <si>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</si>
  <si>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</si>
  <si>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</si>
  <si>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</si>
  <si>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</si>
  <si>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</si>
  <si>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</si>
  <si>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</si>
  <si>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</si>
  <si>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</si>
  <si>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</si>
  <si>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</si>
  <si>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2.3.6</t>
  </si>
  <si>
    <t>.23.6.4.07</t>
  </si>
  <si>
    <t>Otros Minerales</t>
  </si>
  <si>
    <t>2.3.7</t>
  </si>
  <si>
    <t>Gasolina</t>
  </si>
  <si>
    <t>Gasoil</t>
  </si>
  <si>
    <t>Gas GLP</t>
  </si>
  <si>
    <t>Aceites y grasas</t>
  </si>
  <si>
    <t>Lubricantes</t>
  </si>
  <si>
    <t>2.3.9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</si>
  <si>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</si>
  <si>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</si>
  <si>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</si>
  <si>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</si>
  <si>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</si>
  <si>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</si>
  <si>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</si>
  <si>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</si>
  <si>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</si>
  <si>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</si>
  <si>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2.1.1.1.01</t>
  </si>
  <si>
    <t>2.1.1.4.01</t>
  </si>
  <si>
    <t>2.1.2.2.01</t>
  </si>
  <si>
    <t>2.1.5.1.01</t>
  </si>
  <si>
    <t>2.2.1.3.01</t>
  </si>
  <si>
    <t>2.2.1.5.01</t>
  </si>
  <si>
    <t>2.2.1.7.01</t>
  </si>
  <si>
    <t>2.2.1.8.01</t>
  </si>
  <si>
    <t>2.2.2.1.01</t>
  </si>
  <si>
    <t>2.2.3.1.01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</si>
  <si>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</si>
  <si>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</si>
  <si>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</si>
  <si>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</si>
  <si>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</si>
  <si>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</si>
  <si>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</si>
  <si>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</si>
  <si>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</si>
  <si>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</si>
  <si>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</si>
  <si>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</si>
  <si>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</si>
  <si>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</si>
  <si>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</si>
  <si>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</si>
  <si>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</si>
  <si>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</si>
  <si>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</si>
  <si>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</si>
  <si>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</si>
  <si>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</si>
  <si>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</si>
  <si>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</si>
  <si>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</si>
  <si>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</si>
  <si>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</si>
  <si>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</si>
  <si>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</si>
  <si>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</si>
  <si>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</si>
  <si>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</si>
  <si>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</si>
  <si>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</si>
  <si>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</si>
  <si>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</si>
  <si>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</si>
  <si>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</si>
  <si>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</si>
  <si>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</si>
  <si>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</si>
  <si>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</si>
  <si>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</si>
  <si>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</si>
  <si>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</si>
  <si>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</si>
  <si>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</si>
  <si>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</si>
  <si>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</si>
  <si>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</si>
  <si>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</si>
  <si>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</si>
  <si>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</si>
  <si>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</si>
  <si>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</si>
  <si>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</si>
  <si>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</si>
  <si>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</si>
  <si>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</si>
  <si>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</si>
  <si>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</si>
  <si>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</si>
  <si>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</si>
  <si>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</si>
  <si>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</si>
  <si>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</si>
  <si>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</si>
  <si>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</si>
  <si>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</si>
  <si>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</si>
  <si>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</si>
  <si>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Productos y Útiles Varios n.i.p</t>
  </si>
  <si>
    <t>SEPT.</t>
  </si>
  <si>
    <t>OCT.</t>
  </si>
  <si>
    <t>2.1.1.2.04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</si>
  <si>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</si>
  <si>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</si>
  <si>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</si>
  <si>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</si>
  <si>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</si>
  <si>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</si>
  <si>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</si>
  <si>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</si>
  <si>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</si>
  <si>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</si>
  <si>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Productos metálicos</t>
  </si>
  <si>
    <t>Pinturas, lacas, barnices, diluyentes y absorbentes para pinturas</t>
  </si>
  <si>
    <t>Útiles y materiales de escritorio, oficina e informática</t>
  </si>
  <si>
    <t>2.4.1.6.01</t>
  </si>
  <si>
    <t>Transferencias corrientes programadas a asociaciones sin fines de lucro</t>
  </si>
  <si>
    <t>2.2.5.9.01</t>
  </si>
  <si>
    <t>2.6.4.1.01</t>
  </si>
  <si>
    <t>% POR</t>
  </si>
  <si>
    <t>Electricidad no cortable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</si>
  <si>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</si>
  <si>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</si>
  <si>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</si>
  <si>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</si>
  <si>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</si>
  <si>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</si>
  <si>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</si>
  <si>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</si>
  <si>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</si>
  <si>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Incentivo por riesgo laboral al personal militar y policial</t>
  </si>
  <si>
    <t>Mantenimiento y reparación de equipos de transporte, tracción y elevación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</si>
  <si>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</si>
  <si>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</si>
  <si>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</si>
  <si>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</si>
  <si>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</si>
  <si>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</si>
  <si>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</si>
  <si>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</si>
  <si>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</si>
  <si>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</si>
  <si>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</si>
  <si>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</si>
  <si>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</si>
  <si>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</si>
  <si>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</si>
  <si>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</si>
  <si>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</si>
  <si>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</si>
  <si>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</si>
  <si>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</si>
  <si>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</si>
  <si>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</si>
  <si>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</si>
  <si>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</si>
  <si>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</si>
  <si>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</si>
  <si>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</si>
  <si>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</si>
  <si>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Gasto Anual</t>
  </si>
  <si>
    <t>Sueldo Anual No.13</t>
  </si>
  <si>
    <t>Impresión, encuadernación y rotulación</t>
  </si>
  <si>
    <t>2.2.2.2.01</t>
  </si>
  <si>
    <t>2.2.4.4.01</t>
  </si>
  <si>
    <t>Peaje</t>
  </si>
  <si>
    <t>2.2.8.7.04</t>
  </si>
  <si>
    <t>Servicios de capacitación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</si>
  <si>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</si>
  <si>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</si>
  <si>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</si>
  <si>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</si>
  <si>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</si>
  <si>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</si>
  <si>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Plástico</t>
  </si>
  <si>
    <t>2.3.9.2.02</t>
  </si>
  <si>
    <t>Útiles y materiales escolares y de enseñanzas</t>
  </si>
  <si>
    <t>2.1.3.2.02</t>
  </si>
  <si>
    <t>Gastos de representación en el exterior</t>
  </si>
  <si>
    <t>Licencias Informáticas</t>
  </si>
  <si>
    <t>2.2.7.2.02</t>
  </si>
  <si>
    <t>Mantenimiento y reparación de equipos de tecnología e información</t>
  </si>
  <si>
    <t>2.2.8.5.01</t>
  </si>
  <si>
    <t>Fumigación</t>
  </si>
  <si>
    <t>2.3.5.4.01</t>
  </si>
  <si>
    <t>Artículos de caucho</t>
  </si>
  <si>
    <t>2.3.6.2.01</t>
  </si>
  <si>
    <t>Productos de vidrio</t>
  </si>
  <si>
    <t>2.6.5</t>
  </si>
  <si>
    <t>Equipos de climatización</t>
  </si>
  <si>
    <t>MAQUINARIA, OTROS EQUIPOS Y HERRAMIENTAS</t>
  </si>
  <si>
    <t>2.6.5.4.02</t>
  </si>
  <si>
    <t>Equipo de comunicación, telecomunicaciones y señalización</t>
  </si>
  <si>
    <t>2.6.5.5.01</t>
  </si>
  <si>
    <t>Productos medicinales para uso veterinario</t>
  </si>
  <si>
    <t>2.3.4.2.01</t>
  </si>
  <si>
    <t>2.6.4</t>
  </si>
  <si>
    <t>Automóviles y camiones</t>
  </si>
  <si>
    <t>VEHÍCULOS Y EQUIPO DE TRANSPORTE, TRACCIÓN Y ELEVACIÓN</t>
  </si>
  <si>
    <t>2.6.4.8.01</t>
  </si>
  <si>
    <t>Otros equipos de transporte</t>
  </si>
  <si>
    <t>REMUNERACIONES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</si>
  <si>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</si>
  <si>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</si>
  <si>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</si>
  <si>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</si>
  <si>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</si>
  <si>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</si>
  <si>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</si>
  <si>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ALIMENTOS Y PRODUCTOS AGROFORESTALES</t>
  </si>
  <si>
    <t>COMBUSTIBLES, LUBRICANTES, PRODUCTOS QUÍMICOS Y CONEXOS</t>
  </si>
  <si>
    <t>PRODUCTOS Y ÚTILES VARIOS</t>
  </si>
  <si>
    <t>TRANSFERENCIAS CORRIENTES AL SECTOR PRIVADO</t>
  </si>
  <si>
    <t>MOBILIARIO Y EQUIPO</t>
  </si>
  <si>
    <t>TOTAL SUELDOS Y  GASTOS OPERACIONALES,…………..</t>
  </si>
  <si>
    <t>Sueldos a empleados fijos</t>
  </si>
  <si>
    <t>Personal de servicios especiales</t>
  </si>
  <si>
    <t>Incentivo por rendimiento individual</t>
  </si>
  <si>
    <t>Contribuciones al seguro de riesgo laboral</t>
  </si>
  <si>
    <t>2.2.8.9.04</t>
  </si>
  <si>
    <t>Otros gastos por indemnizaciones y compensaciones</t>
  </si>
  <si>
    <t>Indemnización laboral</t>
  </si>
  <si>
    <t>2.4.1.1.03</t>
  </si>
  <si>
    <t>2.6.8.3.01</t>
  </si>
  <si>
    <t>Programas de informática</t>
  </si>
  <si>
    <t>EJECUCIÓN</t>
  </si>
  <si>
    <t>Mantenimiento y reparación de instalaciones eléctricas</t>
  </si>
  <si>
    <t>2.2.7.1.06</t>
  </si>
  <si>
    <t>Eventos generales</t>
  </si>
  <si>
    <t>2.2.8.6.01</t>
  </si>
  <si>
    <t>Útiles y materiales de limpieza e higiene</t>
  </si>
  <si>
    <t>2.1.1.2.08</t>
  </si>
  <si>
    <t>Empleados temporales</t>
  </si>
  <si>
    <t>Mantenimiento y reparaciones menores en edificaciones</t>
  </si>
  <si>
    <t>2.2.7.1.01</t>
  </si>
  <si>
    <t>2.2.9.2.03</t>
  </si>
  <si>
    <t>Servicios de catering</t>
  </si>
  <si>
    <t>2.3.6.1.01</t>
  </si>
  <si>
    <t>Productos de cemento</t>
  </si>
  <si>
    <t>2.3.6.2.03</t>
  </si>
  <si>
    <t>Productos de porcelana</t>
  </si>
  <si>
    <t>Piedra, arcilla y arena</t>
  </si>
  <si>
    <t>2.3.6.4.04</t>
  </si>
  <si>
    <t>2.3.1.3.03</t>
  </si>
  <si>
    <t>Productos forestales</t>
  </si>
  <si>
    <t>NOV.</t>
  </si>
  <si>
    <t>DIC.</t>
  </si>
  <si>
    <t>2.2.8.6.02</t>
  </si>
  <si>
    <t>Festividades</t>
  </si>
  <si>
    <t>2.1.2.2.14</t>
  </si>
  <si>
    <t>Compensación especial al personal militar y policial</t>
  </si>
  <si>
    <t>Cueros y pieles</t>
  </si>
  <si>
    <t>EJECUCIÓN PRESUPUESTARIA CORRESPONDIENTE AL AÑO 2023</t>
  </si>
  <si>
    <t>Año 2023</t>
  </si>
  <si>
    <t>2.3.5.1.01</t>
  </si>
  <si>
    <t>2.2.1.1.01</t>
  </si>
  <si>
    <t>Radiocomunicación</t>
  </si>
  <si>
    <t>2.2.7.2.01</t>
  </si>
  <si>
    <t>Mantenimiento y reparación de muebles y equipos de oficina</t>
  </si>
  <si>
    <t>Productos y útiles veterinarios</t>
  </si>
  <si>
    <t>2.3.9.7.01</t>
  </si>
  <si>
    <t>2.1.2</t>
  </si>
  <si>
    <t>2.1.3</t>
  </si>
  <si>
    <t>2.1.5</t>
  </si>
  <si>
    <t>SOBRESUELDOS</t>
  </si>
  <si>
    <t>DIETAS Y GASTOS DE REPRESENTACIÓN</t>
  </si>
  <si>
    <t>CONTRIBUCIONES A LA SEGURIDAD SOCIAL</t>
  </si>
  <si>
    <t>2.6.2.3.01</t>
  </si>
  <si>
    <t>2.6.2</t>
  </si>
  <si>
    <t>MOBILIARIO Y EQUIPO DE AUDIO, AUDIOVISUAL, RECREATIVO YEDUCACIONAL</t>
  </si>
  <si>
    <t>Cámaras fotográficas y de video</t>
  </si>
  <si>
    <t>2.1.3.1.01</t>
  </si>
  <si>
    <t>Dietas en el país</t>
  </si>
  <si>
    <t>2.3.7.2.05</t>
  </si>
  <si>
    <t>Insecticidas, fumigantes y otros</t>
  </si>
  <si>
    <t>2.2.7.2.99</t>
  </si>
  <si>
    <t>Otros servicios de mantenimiento y reparación de maquinaria y equipos, no identificados en los conceptos anteriores.</t>
  </si>
  <si>
    <t>2.3.7.2.04</t>
  </si>
  <si>
    <t>Abonos y fertilizantes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</si>
</sst>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0" fillId="33" borderId="10" xfId="58" applyFont="1" applyFill="1" applyBorder="1" applyAlignment="1">
      <alignment horizontal="left"/>
      <protection/>
    </xf>
    <xf numFmtId="0" fontId="42" fillId="34" borderId="11" xfId="58" applyFont="1" applyFill="1" applyBorder="1">
      <alignment/>
      <protection/>
    </xf>
    <xf numFmtId="0" fontId="0" fillId="0" borderId="12" xfId="58" applyBorder="1">
      <alignment/>
      <protection/>
    </xf>
    <xf numFmtId="0" fontId="43" fillId="33" borderId="11" xfId="58" applyFont="1" applyFill="1" applyBorder="1">
      <alignment/>
      <protection/>
    </xf>
    <xf numFmtId="0" fontId="42" fillId="0" borderId="11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12" xfId="58" applyFill="1" applyBorder="1">
      <alignment/>
      <protection/>
    </xf>
    <xf numFmtId="0" fontId="0" fillId="9" borderId="0" xfId="58" applyFill="1">
      <alignment/>
      <protection/>
    </xf>
    <xf numFmtId="0" fontId="0" fillId="0" borderId="0" xfId="58" applyFont="1" applyFill="1" applyBorder="1">
      <alignment/>
      <protection/>
    </xf>
    <xf numFmtId="0" fontId="42" fillId="34" borderId="11" xfId="58" applyFont="1" applyFill="1" applyBorder="1" applyAlignment="1">
      <alignment wrapText="1"/>
      <protection/>
    </xf>
    <xf numFmtId="0" fontId="0" fillId="0" borderId="0" xfId="58" applyFont="1" applyFill="1">
      <alignment/>
      <protection/>
    </xf>
    <xf numFmtId="0" fontId="44" fillId="0" borderId="0" xfId="58" applyFont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>
      <alignment/>
      <protection/>
    </xf>
    <xf numFmtId="40" fontId="0" fillId="0" borderId="0" xfId="58" applyNumberFormat="1" applyFont="1" applyBorder="1">
      <alignment/>
      <protection/>
    </xf>
    <xf numFmtId="0" fontId="41" fillId="33" borderId="11" xfId="58" applyFont="1" applyFill="1" applyBorder="1">
      <alignment/>
      <protection/>
    </xf>
    <xf numFmtId="40" fontId="0" fillId="0" borderId="0" xfId="58" applyNumberFormat="1" applyFont="1">
      <alignment/>
      <protection/>
    </xf>
    <xf numFmtId="0" fontId="42" fillId="34" borderId="11" xfId="57" applyFont="1" applyFill="1" applyBorder="1">
      <alignment/>
      <protection/>
    </xf>
    <xf numFmtId="0" fontId="42" fillId="0" borderId="11" xfId="57" applyFont="1" applyFill="1" applyBorder="1">
      <alignment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8" applyFont="1" applyBorder="1" applyAlignment="1">
      <alignment horizontal="left"/>
      <protection/>
    </xf>
    <xf numFmtId="0" fontId="20" fillId="33" borderId="10" xfId="58" applyFont="1" applyFill="1" applyBorder="1" applyAlignment="1">
      <alignment horizontal="left" wrapText="1"/>
      <protection/>
    </xf>
    <xf numFmtId="0" fontId="0" fillId="0" borderId="11" xfId="58" applyFont="1" applyBorder="1" applyAlignment="1">
      <alignment wrapText="1"/>
      <protection/>
    </xf>
    <xf numFmtId="0" fontId="42" fillId="0" borderId="11" xfId="57" applyFont="1" applyFill="1" applyBorder="1" applyAlignment="1">
      <alignment horizontal="left" vertical="center" wrapText="1"/>
      <protection/>
    </xf>
    <xf numFmtId="0" fontId="42" fillId="0" borderId="11" xfId="57" applyFont="1" applyFill="1" applyBorder="1" applyAlignment="1">
      <alignment wrapText="1"/>
      <protection/>
    </xf>
    <xf numFmtId="0" fontId="42" fillId="0" borderId="11" xfId="57" applyFont="1" applyFill="1" applyBorder="1" applyAlignment="1">
      <alignment horizontal="left" wrapText="1"/>
      <protection/>
    </xf>
    <xf numFmtId="0" fontId="43" fillId="33" borderId="11" xfId="58" applyFont="1" applyFill="1" applyBorder="1" applyAlignment="1">
      <alignment wrapText="1"/>
      <protection/>
    </xf>
    <xf numFmtId="0" fontId="22" fillId="0" borderId="11" xfId="57" applyFont="1" applyFill="1" applyBorder="1">
      <alignment/>
      <protection/>
    </xf>
    <xf numFmtId="0" fontId="42" fillId="34" borderId="11" xfId="58" applyFont="1" applyFill="1" applyBorder="1" applyAlignment="1">
      <alignment horizontal="left" vertical="center" wrapText="1"/>
      <protection/>
    </xf>
    <xf numFmtId="43" fontId="22" fillId="0" borderId="11" xfId="46" applyFont="1" applyBorder="1" applyAlignment="1">
      <alignment vertical="center"/>
    </xf>
    <xf numFmtId="0" fontId="41" fillId="33" borderId="11" xfId="58" applyFont="1" applyFill="1" applyBorder="1" applyAlignment="1">
      <alignment vertical="center"/>
      <protection/>
    </xf>
    <xf numFmtId="0" fontId="43" fillId="33" borderId="11" xfId="58" applyFont="1" applyFill="1" applyBorder="1" applyAlignment="1">
      <alignment horizontal="left" vertical="center" wrapText="1"/>
      <protection/>
    </xf>
    <xf numFmtId="0" fontId="42" fillId="0" borderId="11" xfId="57" applyFont="1" applyFill="1" applyBorder="1" applyAlignment="1">
      <alignment vertical="center" wrapText="1"/>
      <protection/>
    </xf>
    <xf numFmtId="43" fontId="22" fillId="34" borderId="11" xfId="46" applyFont="1" applyFill="1" applyBorder="1" applyAlignment="1">
      <alignment vertical="center"/>
    </xf>
    <xf numFmtId="43" fontId="22" fillId="0" borderId="11" xfId="46" applyFont="1" applyFill="1" applyBorder="1" applyAlignment="1">
      <alignment vertical="center"/>
    </xf>
    <xf numFmtId="43" fontId="22" fillId="4" borderId="11" xfId="46" applyFont="1" applyFill="1" applyBorder="1" applyAlignment="1">
      <alignment vertical="center"/>
    </xf>
    <xf numFmtId="43" fontId="0" fillId="0" borderId="11" xfId="46" applyFont="1" applyFill="1" applyBorder="1" applyAlignment="1">
      <alignment vertical="center"/>
    </xf>
    <xf numFmtId="43" fontId="0" fillId="34" borderId="11" xfId="46" applyFont="1" applyFill="1" applyBorder="1" applyAlignment="1">
      <alignment vertical="center"/>
    </xf>
    <xf numFmtId="0" fontId="0" fillId="34" borderId="11" xfId="58" applyFont="1" applyFill="1" applyBorder="1">
      <alignment/>
      <protection/>
    </xf>
    <xf numFmtId="40" fontId="22" fillId="4" borderId="11" xfId="58" applyNumberFormat="1" applyFont="1" applyFill="1" applyBorder="1" applyAlignment="1">
      <alignment vertical="center"/>
      <protection/>
    </xf>
    <xf numFmtId="10" fontId="22" fillId="4" borderId="11" xfId="58" applyNumberFormat="1" applyFont="1" applyFill="1" applyBorder="1" applyAlignment="1">
      <alignment vertical="center"/>
      <protection/>
    </xf>
    <xf numFmtId="40" fontId="22" fillId="2" borderId="11" xfId="58" applyNumberFormat="1" applyFont="1" applyFill="1" applyBorder="1" applyAlignment="1">
      <alignment vertical="center"/>
      <protection/>
    </xf>
    <xf numFmtId="10" fontId="22" fillId="2" borderId="11" xfId="58" applyNumberFormat="1" applyFont="1" applyFill="1" applyBorder="1" applyAlignment="1">
      <alignment vertical="center"/>
      <protection/>
    </xf>
    <xf numFmtId="43" fontId="20" fillId="0" borderId="11" xfId="46" applyFont="1" applyFill="1" applyBorder="1" applyAlignment="1">
      <alignment vertical="center"/>
    </xf>
    <xf numFmtId="43" fontId="36" fillId="0" borderId="11" xfId="46" applyFont="1" applyFill="1" applyBorder="1" applyAlignment="1">
      <alignment vertical="center"/>
    </xf>
    <xf numFmtId="40" fontId="22" fillId="0" borderId="11" xfId="58" applyNumberFormat="1" applyFont="1" applyFill="1" applyBorder="1" applyAlignment="1">
      <alignment vertical="center"/>
      <protection/>
    </xf>
    <xf numFmtId="40" fontId="36" fillId="0" borderId="11" xfId="58" applyNumberFormat="1" applyFont="1" applyFill="1" applyBorder="1" applyAlignment="1">
      <alignment vertical="center"/>
      <protection/>
    </xf>
    <xf numFmtId="40" fontId="22" fillId="10" borderId="11" xfId="58" applyNumberFormat="1" applyFont="1" applyFill="1" applyBorder="1" applyAlignment="1">
      <alignment vertical="center"/>
      <protection/>
    </xf>
    <xf numFmtId="43" fontId="22" fillId="7" borderId="11" xfId="46" applyFont="1" applyFill="1" applyBorder="1" applyAlignment="1">
      <alignment vertical="center"/>
    </xf>
    <xf numFmtId="43" fontId="22" fillId="0" borderId="11" xfId="46" applyFont="1" applyFill="1" applyBorder="1" applyAlignment="1">
      <alignment horizontal="center" vertical="center"/>
    </xf>
    <xf numFmtId="40" fontId="22" fillId="0" borderId="11" xfId="58" applyNumberFormat="1" applyFont="1" applyFill="1" applyBorder="1" applyAlignment="1">
      <alignment horizontal="center" vertical="center"/>
      <protection/>
    </xf>
    <xf numFmtId="40" fontId="22" fillId="0" borderId="11" xfId="58" applyNumberFormat="1" applyFont="1" applyBorder="1" applyAlignment="1">
      <alignment vertical="center"/>
      <protection/>
    </xf>
    <xf numFmtId="0" fontId="42" fillId="34" borderId="11" xfId="57" applyFont="1" applyFill="1" applyBorder="1" applyAlignment="1">
      <alignment horizontal="left" vertical="center" wrapText="1"/>
      <protection/>
    </xf>
    <xf numFmtId="0" fontId="42" fillId="34" borderId="11" xfId="58" applyFont="1" applyFill="1" applyBorder="1" applyAlignment="1">
      <alignment vertical="center" wrapText="1"/>
      <protection/>
    </xf>
    <xf numFmtId="43" fontId="0" fillId="0" borderId="0" xfId="46" applyAlignment="1">
      <alignment/>
    </xf>
    <xf numFmtId="43" fontId="0" fillId="0" borderId="0" xfId="46" applyFont="1" applyBorder="1" applyAlignment="1">
      <alignment/>
    </xf>
    <xf numFmtId="0" fontId="23" fillId="10" borderId="13" xfId="58" applyFont="1" applyFill="1" applyBorder="1" applyAlignment="1">
      <alignment horizontal="center" vertical="center" wrapText="1"/>
      <protection/>
    </xf>
    <xf numFmtId="0" fontId="20" fillId="10" borderId="13" xfId="58" applyFont="1" applyFill="1" applyBorder="1" applyAlignment="1">
      <alignment horizontal="center"/>
      <protection/>
    </xf>
    <xf numFmtId="0" fontId="20" fillId="10" borderId="0" xfId="58" applyFont="1" applyFill="1" applyBorder="1" applyAlignment="1">
      <alignment horizontal="center"/>
      <protection/>
    </xf>
    <xf numFmtId="0" fontId="20" fillId="10" borderId="14" xfId="58" applyFont="1" applyFill="1" applyBorder="1" applyAlignment="1">
      <alignment horizontal="center"/>
      <protection/>
    </xf>
    <xf numFmtId="43" fontId="20" fillId="33" borderId="10" xfId="46" applyFont="1" applyFill="1" applyBorder="1" applyAlignment="1">
      <alignment vertical="center"/>
    </xf>
    <xf numFmtId="43" fontId="20" fillId="33" borderId="11" xfId="46" applyFont="1" applyFill="1" applyBorder="1" applyAlignment="1">
      <alignment vertical="center"/>
    </xf>
    <xf numFmtId="40" fontId="20" fillId="33" borderId="15" xfId="58" applyNumberFormat="1" applyFont="1" applyFill="1" applyBorder="1" applyAlignment="1">
      <alignment vertical="center"/>
      <protection/>
    </xf>
    <xf numFmtId="10" fontId="20" fillId="33" borderId="10" xfId="58" applyNumberFormat="1" applyFont="1" applyFill="1" applyBorder="1" applyAlignment="1">
      <alignment vertical="center"/>
      <protection/>
    </xf>
    <xf numFmtId="40" fontId="20" fillId="33" borderId="10" xfId="58" applyNumberFormat="1" applyFont="1" applyFill="1" applyBorder="1" applyAlignment="1">
      <alignment vertical="center"/>
      <protection/>
    </xf>
    <xf numFmtId="40" fontId="20" fillId="33" borderId="11" xfId="58" applyNumberFormat="1" applyFont="1" applyFill="1" applyBorder="1" applyAlignment="1">
      <alignment vertical="center"/>
      <protection/>
    </xf>
    <xf numFmtId="10" fontId="20" fillId="33" borderId="11" xfId="58" applyNumberFormat="1" applyFont="1" applyFill="1" applyBorder="1" applyAlignment="1">
      <alignment vertical="center"/>
      <protection/>
    </xf>
    <xf numFmtId="10" fontId="22" fillId="33" borderId="11" xfId="58" applyNumberFormat="1" applyFont="1" applyFill="1" applyBorder="1" applyAlignment="1">
      <alignment vertical="center"/>
      <protection/>
    </xf>
    <xf numFmtId="43" fontId="43" fillId="11" borderId="11" xfId="46" applyFont="1" applyFill="1" applyBorder="1" applyAlignment="1">
      <alignment vertical="center"/>
    </xf>
    <xf numFmtId="40" fontId="20" fillId="11" borderId="11" xfId="58" applyNumberFormat="1" applyFont="1" applyFill="1" applyBorder="1" applyAlignment="1">
      <alignment vertical="center"/>
      <protection/>
    </xf>
    <xf numFmtId="10" fontId="20" fillId="11" borderId="11" xfId="58" applyNumberFormat="1" applyFont="1" applyFill="1" applyBorder="1" applyAlignment="1">
      <alignment vertical="center"/>
      <protection/>
    </xf>
    <xf numFmtId="40" fontId="43" fillId="11" borderId="11" xfId="58" applyNumberFormat="1" applyFont="1" applyFill="1" applyBorder="1" applyAlignment="1">
      <alignment vertical="center"/>
      <protection/>
    </xf>
    <xf numFmtId="10" fontId="43" fillId="11" borderId="11" xfId="58" applyNumberFormat="1" applyFont="1" applyFill="1" applyBorder="1" applyAlignment="1">
      <alignment vertical="center"/>
      <protection/>
    </xf>
    <xf numFmtId="0" fontId="0" fillId="34" borderId="11" xfId="58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20" fillId="11" borderId="11" xfId="46" applyFont="1" applyFill="1" applyBorder="1" applyAlignment="1">
      <alignment vertical="center"/>
    </xf>
    <xf numFmtId="10" fontId="0" fillId="0" borderId="0" xfId="58" applyNumberFormat="1" applyFont="1" applyBorder="1">
      <alignment/>
      <protection/>
    </xf>
    <xf numFmtId="0" fontId="0" fillId="34" borderId="11" xfId="57" applyFont="1" applyFill="1" applyBorder="1">
      <alignment/>
      <protection/>
    </xf>
    <xf numFmtId="0" fontId="22" fillId="0" borderId="11" xfId="57" applyFont="1" applyFill="1" applyBorder="1" applyAlignment="1">
      <alignment vertical="center"/>
      <protection/>
    </xf>
    <xf numFmtId="0" fontId="42" fillId="34" borderId="11" xfId="57" applyFont="1" applyFill="1" applyBorder="1" applyAlignment="1">
      <alignment horizontal="left" vertical="center"/>
      <protection/>
    </xf>
    <xf numFmtId="0" fontId="41" fillId="33" borderId="11" xfId="58" applyFont="1" applyFill="1" applyBorder="1" applyAlignment="1">
      <alignment horizontal="left" vertical="center" wrapText="1"/>
      <protection/>
    </xf>
    <xf numFmtId="0" fontId="41" fillId="33" borderId="11" xfId="58" applyFont="1" applyFill="1" applyBorder="1" applyAlignment="1">
      <alignment vertical="center" wrapText="1"/>
      <protection/>
    </xf>
    <xf numFmtId="40" fontId="22" fillId="34" borderId="11" xfId="58" applyNumberFormat="1" applyFont="1" applyFill="1" applyBorder="1" applyAlignment="1">
      <alignment vertical="center"/>
      <protection/>
    </xf>
    <xf numFmtId="10" fontId="22" fillId="34" borderId="11" xfId="58" applyNumberFormat="1" applyFont="1" applyFill="1" applyBorder="1" applyAlignment="1">
      <alignment vertical="center"/>
      <protection/>
    </xf>
    <xf numFmtId="40" fontId="20" fillId="34" borderId="11" xfId="58" applyNumberFormat="1" applyFont="1" applyFill="1" applyBorder="1" applyAlignment="1">
      <alignment vertical="center"/>
      <protection/>
    </xf>
    <xf numFmtId="43" fontId="22" fillId="34" borderId="11" xfId="58" applyNumberFormat="1" applyFont="1" applyFill="1" applyBorder="1" applyAlignment="1">
      <alignment vertical="center"/>
      <protection/>
    </xf>
    <xf numFmtId="43" fontId="44" fillId="0" borderId="0" xfId="58" applyNumberFormat="1" applyFont="1">
      <alignment/>
      <protection/>
    </xf>
    <xf numFmtId="0" fontId="0" fillId="0" borderId="11" xfId="58" applyFont="1" applyFill="1" applyBorder="1">
      <alignment/>
      <protection/>
    </xf>
    <xf numFmtId="49" fontId="23" fillId="10" borderId="14" xfId="46" applyNumberFormat="1" applyFont="1" applyFill="1" applyBorder="1" applyAlignment="1">
      <alignment horizontal="center" vertical="center" wrapText="1"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44" fillId="0" borderId="0" xfId="58" applyFont="1" applyBorder="1">
      <alignment/>
      <protection/>
    </xf>
    <xf numFmtId="0" fontId="41" fillId="33" borderId="11" xfId="58" applyFont="1" applyFill="1" applyBorder="1" applyAlignment="1">
      <alignment horizontal="left" wrapText="1"/>
      <protection/>
    </xf>
    <xf numFmtId="0" fontId="43" fillId="33" borderId="11" xfId="58" applyFont="1" applyFill="1" applyBorder="1" applyAlignment="1">
      <alignment vertical="center" wrapText="1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horizontal="left" vertical="center"/>
      <protection/>
    </xf>
    <xf numFmtId="0" fontId="20" fillId="10" borderId="13" xfId="58" applyFont="1" applyFill="1" applyBorder="1" applyAlignment="1">
      <alignment horizontal="center" wrapText="1"/>
      <protection/>
    </xf>
    <xf numFmtId="0" fontId="20" fillId="10" borderId="14" xfId="58" applyFont="1" applyFill="1" applyBorder="1" applyAlignment="1">
      <alignment horizontal="center" wrapText="1"/>
      <protection/>
    </xf>
    <xf numFmtId="0" fontId="42" fillId="34" borderId="11" xfId="57" applyFont="1" applyFill="1" applyBorder="1" applyAlignment="1">
      <alignment horizontal="center" vertical="center" wrapText="1"/>
      <protection/>
    </xf>
    <xf numFmtId="0" fontId="0" fillId="34" borderId="11" xfId="57" applyFont="1" applyFill="1" applyBorder="1">
      <alignment/>
      <protection/>
    </xf>
    <xf numFmtId="0" fontId="41" fillId="0" borderId="0" xfId="58" applyFont="1" applyBorder="1" applyAlignment="1">
      <alignment horizontal="right"/>
      <protection/>
    </xf>
    <xf numFmtId="0" fontId="0" fillId="0" borderId="11" xfId="57" applyFont="1" applyFill="1" applyBorder="1" applyAlignment="1">
      <alignment vertical="center"/>
      <protection/>
    </xf>
    <xf numFmtId="43" fontId="20" fillId="33" borderId="11" xfId="58" applyNumberFormat="1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43" fontId="0" fillId="0" borderId="0" xfId="46" applyBorder="1" applyAlignment="1">
      <alignment/>
    </xf>
    <xf numFmtId="43" fontId="23" fillId="10" borderId="16" xfId="46" applyFont="1" applyFill="1" applyBorder="1" applyAlignment="1">
      <alignment horizontal="center" vertical="center" wrapText="1"/>
    </xf>
    <xf numFmtId="43" fontId="23" fillId="10" borderId="17" xfId="46" applyFont="1" applyFill="1" applyBorder="1" applyAlignment="1">
      <alignment horizontal="center" vertical="center" wrapText="1"/>
    </xf>
    <xf numFmtId="43" fontId="0" fillId="0" borderId="11" xfId="46" applyFont="1" applyBorder="1" applyAlignment="1">
      <alignment/>
    </xf>
    <xf numFmtId="43" fontId="42" fillId="34" borderId="10" xfId="46" applyFont="1" applyFill="1" applyBorder="1" applyAlignment="1">
      <alignment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41" fillId="11" borderId="11" xfId="58" applyFont="1" applyFill="1" applyBorder="1" applyAlignment="1">
      <alignment horizontal="right"/>
      <protection/>
    </xf>
    <xf numFmtId="0" fontId="3" fillId="0" borderId="0" xfId="55" applyFont="1" applyAlignment="1">
      <alignment horizontal="center" vertical="center"/>
      <protection/>
    </xf>
    <xf numFmtId="0" fontId="23" fillId="10" borderId="18" xfId="58" applyFont="1" applyFill="1" applyBorder="1" applyAlignment="1">
      <alignment horizontal="center" vertical="center"/>
      <protection/>
    </xf>
    <xf numFmtId="0" fontId="23" fillId="10" borderId="19" xfId="58" applyFont="1" applyFill="1" applyBorder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45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20" fillId="10" borderId="13" xfId="58" applyFont="1" applyFill="1" applyBorder="1" applyAlignment="1">
      <alignment horizontal="center" vertical="center" wrapText="1"/>
      <protection/>
    </xf>
    <xf numFmtId="0" fontId="20" fillId="10" borderId="14" xfId="58" applyFont="1" applyFill="1" applyBorder="1" applyAlignment="1">
      <alignment horizontal="center" vertical="center" wrapText="1"/>
      <protection/>
    </xf>
    <xf numFmtId="0" fontId="45" fillId="10" borderId="20" xfId="0" applyFont="1" applyFill="1" applyBorder="1" applyAlignment="1">
      <alignment horizontal="center" vertical="center"/>
    </xf>
    <xf numFmtId="0" fontId="45" fillId="10" borderId="21" xfId="0" applyFont="1" applyFill="1" applyBorder="1" applyAlignment="1">
      <alignment horizontal="center" vertical="center"/>
    </xf>
    <xf numFmtId="0" fontId="45" fillId="10" borderId="22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4 2" xfId="58"/>
    <cellStyle name="Normal 4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47625</xdr:rowOff>
    </xdr:from>
    <xdr:to>
      <xdr:col>9</xdr:col>
      <xdr:colOff>600075</xdr:colOff>
      <xdr:row>4</xdr:row>
      <xdr:rowOff>38100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179</xdr:row>
      <xdr:rowOff>19050</xdr:rowOff>
    </xdr:from>
    <xdr:to>
      <xdr:col>9</xdr:col>
      <xdr:colOff>695325</xdr:colOff>
      <xdr:row>188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37204650"/>
          <a:ext cx="30099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95"/>
  <sheetViews>
    <sheetView tabSelected="1" zoomScale="85" zoomScaleNormal="85" zoomScaleSheetLayoutView="47" workbookViewId="0" topLeftCell="A173">
      <selection activeCell="J197" sqref="J197"/>
    </sheetView>
  </sheetViews>
  <sheetFormatPr defaultColWidth="11.421875" defaultRowHeight="15"/>
  <cols>
    <col min="1" max="1" width="9.57421875" style="4" customWidth="1"/>
    <col min="2" max="2" width="40.00390625" style="4" customWidth="1"/>
    <col min="3" max="3" width="16.8515625" style="79" bestFit="1" customWidth="1"/>
    <col min="4" max="4" width="15.140625" style="60" bestFit="1" customWidth="1"/>
    <col min="5" max="14" width="15.140625" style="17" bestFit="1" customWidth="1"/>
    <col min="15" max="16" width="15.140625" style="17" customWidth="1"/>
    <col min="17" max="17" width="16.140625" style="17" bestFit="1" customWidth="1"/>
    <col min="18" max="18" width="12.28125" style="17" bestFit="1" customWidth="1"/>
    <col min="19" max="19" width="15.00390625" style="4" hidden="1" customWidth="1"/>
    <col min="20" max="20" width="13.8515625" style="4" hidden="1" customWidth="1"/>
    <col min="21" max="21" width="16.8515625" style="17" bestFit="1" customWidth="1"/>
    <col min="22" max="22" width="11.8515625" style="17" bestFit="1" customWidth="1"/>
    <col min="23" max="23" width="13.8515625" style="4" bestFit="1" customWidth="1"/>
    <col min="24" max="27" width="11.421875" style="4" customWidth="1"/>
    <col min="28" max="28" width="11.421875" style="17" customWidth="1"/>
    <col min="29" max="16384" width="11.421875" style="4" customWidth="1"/>
  </cols>
  <sheetData>
    <row r="1" ht="15"/>
    <row r="2" ht="15"/>
    <row r="3" spans="1:22" ht="15">
      <c r="A3" s="2"/>
      <c r="B3" s="133"/>
      <c r="C3" s="59"/>
      <c r="D3" s="1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33"/>
      <c r="C4" s="59"/>
      <c r="D4" s="1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ht="21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1:22" ht="16.5" customHeight="1">
      <c r="A7" s="134" t="s">
        <v>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2" ht="21">
      <c r="A8" s="135" t="s">
        <v>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1:22" ht="18.75">
      <c r="A9" s="134" t="s">
        <v>312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</row>
    <row r="10" spans="1:22" ht="6" customHeight="1">
      <c r="A10" s="2"/>
      <c r="B10" s="2"/>
      <c r="C10" s="59"/>
      <c r="D10" s="11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59"/>
      <c r="D11" s="1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59"/>
      <c r="D12" s="1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136" t="s">
        <v>4</v>
      </c>
      <c r="B13" s="131" t="s">
        <v>5</v>
      </c>
      <c r="C13" s="61" t="s">
        <v>220</v>
      </c>
      <c r="D13" s="117" t="s">
        <v>141</v>
      </c>
      <c r="E13" s="138" t="s">
        <v>285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  <c r="Q13" s="62" t="s">
        <v>6</v>
      </c>
      <c r="R13" s="62" t="s">
        <v>7</v>
      </c>
      <c r="S13" s="63" t="s">
        <v>6</v>
      </c>
      <c r="T13" s="63" t="s">
        <v>8</v>
      </c>
      <c r="U13" s="104" t="s">
        <v>117</v>
      </c>
      <c r="V13" s="62" t="s">
        <v>179</v>
      </c>
    </row>
    <row r="14" spans="1:22" ht="16.5" thickBot="1">
      <c r="A14" s="137"/>
      <c r="B14" s="132"/>
      <c r="C14" s="93" t="s">
        <v>313</v>
      </c>
      <c r="D14" s="118" t="s">
        <v>142</v>
      </c>
      <c r="E14" s="64" t="s">
        <v>9</v>
      </c>
      <c r="F14" s="64" t="s">
        <v>10</v>
      </c>
      <c r="G14" s="64" t="s">
        <v>11</v>
      </c>
      <c r="H14" s="64" t="s">
        <v>129</v>
      </c>
      <c r="I14" s="64" t="s">
        <v>12</v>
      </c>
      <c r="J14" s="64" t="s">
        <v>13</v>
      </c>
      <c r="K14" s="64" t="s">
        <v>14</v>
      </c>
      <c r="L14" s="64" t="s">
        <v>164</v>
      </c>
      <c r="M14" s="64" t="s">
        <v>159</v>
      </c>
      <c r="N14" s="64" t="s">
        <v>160</v>
      </c>
      <c r="O14" s="64" t="s">
        <v>305</v>
      </c>
      <c r="P14" s="64" t="s">
        <v>306</v>
      </c>
      <c r="Q14" s="64" t="s">
        <v>15</v>
      </c>
      <c r="R14" s="64" t="s">
        <v>15</v>
      </c>
      <c r="S14" s="63" t="s">
        <v>16</v>
      </c>
      <c r="T14" s="63" t="s">
        <v>16</v>
      </c>
      <c r="U14" s="105" t="s">
        <v>116</v>
      </c>
      <c r="V14" s="64" t="s">
        <v>116</v>
      </c>
    </row>
    <row r="15" spans="1:22" ht="15">
      <c r="A15" s="26" t="s">
        <v>17</v>
      </c>
      <c r="B15" s="5" t="s">
        <v>261</v>
      </c>
      <c r="C15" s="65">
        <f>+C16+C17+C18+C19</f>
        <v>1265282146.33</v>
      </c>
      <c r="D15" s="65">
        <f>+D16+D17+D18+D19</f>
        <v>2800000</v>
      </c>
      <c r="E15" s="65">
        <f>+E16+E17+E18+E19</f>
        <v>95817403.05</v>
      </c>
      <c r="F15" s="65">
        <f>+F16+F17+F18+F19</f>
        <v>96599465.06</v>
      </c>
      <c r="G15" s="65">
        <f aca="true" t="shared" si="0" ref="G15:P15">+G16+G17+G18+G19</f>
        <v>96806738.63</v>
      </c>
      <c r="H15" s="65">
        <f>+H16+H17+H18+H19</f>
        <v>95980862.54</v>
      </c>
      <c r="I15" s="65">
        <f t="shared" si="0"/>
        <v>96570679.72</v>
      </c>
      <c r="J15" s="65">
        <f>+J16+J17+J18+J19</f>
        <v>97979730.71</v>
      </c>
      <c r="K15" s="65">
        <f t="shared" si="0"/>
        <v>96566577.79</v>
      </c>
      <c r="L15" s="65">
        <f t="shared" si="0"/>
        <v>0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7">
        <f>SUM(E15:P15)</f>
        <v>676321457.5</v>
      </c>
      <c r="R15" s="68">
        <f aca="true" t="shared" si="1" ref="R15:R32">+Q15/(C15+D15)</f>
        <v>0.5333419916504346</v>
      </c>
      <c r="S15" s="69" t="e">
        <f>SUM(S16:S32)</f>
        <v>#REF!</v>
      </c>
      <c r="T15" s="68" t="e">
        <f aca="true" t="shared" si="2" ref="T15:T33">+S15/C15</f>
        <v>#REF!</v>
      </c>
      <c r="U15" s="70">
        <f>+U16+U17+U18+U19</f>
        <v>697118103.1600001</v>
      </c>
      <c r="V15" s="68">
        <f>+U15/C15</f>
        <v>0.550958618346128</v>
      </c>
    </row>
    <row r="16" spans="1:28" ht="15">
      <c r="A16" s="82" t="s">
        <v>77</v>
      </c>
      <c r="B16" s="22" t="s">
        <v>275</v>
      </c>
      <c r="C16" s="120">
        <f>1074688972-95649240-8615000-100000</f>
        <v>970324732</v>
      </c>
      <c r="D16" s="39"/>
      <c r="E16" s="39">
        <v>79517403.05</v>
      </c>
      <c r="F16" s="38">
        <v>80051465.06</v>
      </c>
      <c r="G16" s="38">
        <v>79714573.63</v>
      </c>
      <c r="H16" s="38">
        <v>79732437.54</v>
      </c>
      <c r="I16" s="38">
        <v>79378014.72</v>
      </c>
      <c r="J16" s="38">
        <v>79369900.61</v>
      </c>
      <c r="K16" s="38">
        <v>80527711.54</v>
      </c>
      <c r="L16" s="38"/>
      <c r="M16" s="38"/>
      <c r="N16" s="38"/>
      <c r="O16" s="38"/>
      <c r="P16" s="38"/>
      <c r="Q16" s="87">
        <f>SUM(E16:P16)</f>
        <v>558291506.15</v>
      </c>
      <c r="R16" s="88">
        <f t="shared" si="1"/>
        <v>0.5753656355839438</v>
      </c>
      <c r="S16" s="87">
        <f aca="true" t="shared" si="3" ref="S16:S32">+C16-Q16</f>
        <v>412033225.85</v>
      </c>
      <c r="T16" s="88">
        <f t="shared" si="2"/>
        <v>0.4246343644160562</v>
      </c>
      <c r="U16" s="87">
        <f>+C16+D16-Q16</f>
        <v>412033225.85</v>
      </c>
      <c r="V16" s="88">
        <f>+U16/C16</f>
        <v>0.4246343644160562</v>
      </c>
      <c r="W16" s="3"/>
      <c r="X16" s="3"/>
      <c r="Y16" s="3"/>
      <c r="Z16" s="3"/>
      <c r="AA16" s="3"/>
      <c r="AB16" s="2"/>
    </row>
    <row r="17" spans="1:28" ht="15">
      <c r="A17" s="95" t="s">
        <v>161</v>
      </c>
      <c r="B17" s="22" t="s">
        <v>276</v>
      </c>
      <c r="C17" s="38">
        <v>189600000</v>
      </c>
      <c r="D17" s="39">
        <v>2800000</v>
      </c>
      <c r="E17" s="39">
        <v>16300000</v>
      </c>
      <c r="F17" s="38">
        <v>16350000</v>
      </c>
      <c r="G17" s="38">
        <v>16850000</v>
      </c>
      <c r="H17" s="38">
        <v>16000000</v>
      </c>
      <c r="I17" s="38">
        <v>17000000</v>
      </c>
      <c r="J17" s="38">
        <v>18400000</v>
      </c>
      <c r="K17" s="38">
        <v>16000000</v>
      </c>
      <c r="L17" s="38"/>
      <c r="M17" s="38"/>
      <c r="N17" s="38"/>
      <c r="O17" s="38"/>
      <c r="P17" s="38"/>
      <c r="Q17" s="87">
        <f aca="true" t="shared" si="4" ref="Q17:Q23">SUM(E17:P17)</f>
        <v>116900000</v>
      </c>
      <c r="R17" s="88">
        <f t="shared" si="1"/>
        <v>0.6075883575883576</v>
      </c>
      <c r="S17" s="87">
        <f t="shared" si="3"/>
        <v>72700000</v>
      </c>
      <c r="T17" s="88">
        <f t="shared" si="2"/>
        <v>0.38343881856540085</v>
      </c>
      <c r="U17" s="87">
        <f>+C17+D17-Q17</f>
        <v>75500000</v>
      </c>
      <c r="V17" s="88">
        <f>+U17/C17</f>
        <v>0.3982067510548523</v>
      </c>
      <c r="W17" s="3"/>
      <c r="X17" s="3"/>
      <c r="Y17" s="3"/>
      <c r="Z17" s="3"/>
      <c r="AA17" s="3"/>
      <c r="AB17" s="2"/>
    </row>
    <row r="18" spans="1:28" ht="15">
      <c r="A18" s="111" t="s">
        <v>291</v>
      </c>
      <c r="B18" s="22" t="s">
        <v>292</v>
      </c>
      <c r="C18" s="79">
        <v>0</v>
      </c>
      <c r="D18" s="39"/>
      <c r="E18" s="39">
        <v>0</v>
      </c>
      <c r="F18" s="38">
        <v>198000</v>
      </c>
      <c r="G18" s="38">
        <v>242165</v>
      </c>
      <c r="H18" s="38">
        <v>248425</v>
      </c>
      <c r="I18" s="38">
        <v>192665</v>
      </c>
      <c r="J18" s="38">
        <v>209830.1</v>
      </c>
      <c r="K18" s="38">
        <v>21616.25</v>
      </c>
      <c r="L18" s="38"/>
      <c r="M18" s="38"/>
      <c r="N18" s="38"/>
      <c r="O18" s="38"/>
      <c r="P18" s="38"/>
      <c r="Q18" s="87">
        <f t="shared" si="4"/>
        <v>1112701.35</v>
      </c>
      <c r="R18" s="88">
        <f>+Q18/(C19+D18)</f>
        <v>0.010561205939572531</v>
      </c>
      <c r="S18" s="87">
        <f>+C19-Q18</f>
        <v>104244712.98</v>
      </c>
      <c r="T18" s="88">
        <f>+S18/C19</f>
        <v>0.9894387940604276</v>
      </c>
      <c r="U18" s="87">
        <f>+C19+D18-Q18</f>
        <v>104244712.98</v>
      </c>
      <c r="V18" s="88">
        <f>+U18/C19</f>
        <v>0.9894387940604276</v>
      </c>
      <c r="W18" s="3"/>
      <c r="X18" s="3"/>
      <c r="Y18" s="3"/>
      <c r="Z18" s="3"/>
      <c r="AA18" s="3"/>
      <c r="AB18" s="2"/>
    </row>
    <row r="19" spans="1:28" ht="15">
      <c r="A19" s="95" t="s">
        <v>78</v>
      </c>
      <c r="B19" s="22" t="s">
        <v>221</v>
      </c>
      <c r="C19" s="38">
        <v>105357414.33</v>
      </c>
      <c r="D19" s="39"/>
      <c r="E19" s="39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17250</v>
      </c>
      <c r="L19" s="38"/>
      <c r="M19" s="38"/>
      <c r="N19" s="38"/>
      <c r="O19" s="38"/>
      <c r="P19" s="38"/>
      <c r="Q19" s="87">
        <f t="shared" si="4"/>
        <v>17250</v>
      </c>
      <c r="R19" s="88">
        <f t="shared" si="1"/>
        <v>0.0001637283916817627</v>
      </c>
      <c r="S19" s="87" t="e">
        <f>+#REF!-Q19</f>
        <v>#REF!</v>
      </c>
      <c r="T19" s="88" t="e">
        <f>+S19/#REF!</f>
        <v>#REF!</v>
      </c>
      <c r="U19" s="87">
        <f>+C19+D19-Q19</f>
        <v>105340164.33</v>
      </c>
      <c r="V19" s="88">
        <f>+U19/C19</f>
        <v>0.9998362716083182</v>
      </c>
      <c r="W19" s="3"/>
      <c r="X19" s="3"/>
      <c r="Y19" s="3"/>
      <c r="Z19" s="3"/>
      <c r="AA19" s="3"/>
      <c r="AB19" s="2"/>
    </row>
    <row r="20" spans="1:28" ht="15">
      <c r="A20" s="26" t="s">
        <v>321</v>
      </c>
      <c r="B20" s="5" t="s">
        <v>324</v>
      </c>
      <c r="C20" s="65">
        <f>+C21+C22+C23+C24+C25</f>
        <v>146780891</v>
      </c>
      <c r="D20" s="65">
        <f>+D21+D22+D23+D24+D25</f>
        <v>10640000</v>
      </c>
      <c r="E20" s="65">
        <f>+E21+E22+E23+E24+E25</f>
        <v>12109105</v>
      </c>
      <c r="F20" s="65">
        <f>+F21+F22+F23+F24+F25</f>
        <v>12564334</v>
      </c>
      <c r="G20" s="65">
        <f aca="true" t="shared" si="5" ref="G20:P20">+G21+G22+G23+G24+G25</f>
        <v>12482280</v>
      </c>
      <c r="H20" s="65">
        <f>+H21+H22+H23+H24+H25</f>
        <v>12432355.48</v>
      </c>
      <c r="I20" s="65">
        <f t="shared" si="5"/>
        <v>12464037.66</v>
      </c>
      <c r="J20" s="65">
        <f>+J21+J22+J23+J24+J25</f>
        <v>12437704</v>
      </c>
      <c r="K20" s="65">
        <f t="shared" si="5"/>
        <v>12482409.370000001</v>
      </c>
      <c r="L20" s="65">
        <f t="shared" si="5"/>
        <v>0</v>
      </c>
      <c r="M20" s="65">
        <f t="shared" si="5"/>
        <v>0</v>
      </c>
      <c r="N20" s="65">
        <f t="shared" si="5"/>
        <v>0</v>
      </c>
      <c r="O20" s="65">
        <f t="shared" si="5"/>
        <v>0</v>
      </c>
      <c r="P20" s="65">
        <f t="shared" si="5"/>
        <v>0</v>
      </c>
      <c r="Q20" s="67">
        <f>SUM(E20:P20)</f>
        <v>86972225.51</v>
      </c>
      <c r="R20" s="68">
        <f>+Q20/(C20+D20)</f>
        <v>0.5524821067745068</v>
      </c>
      <c r="S20" s="69">
        <f>SUM(S21:S37)</f>
        <v>260266698.06</v>
      </c>
      <c r="T20" s="68">
        <f>+S20/C20</f>
        <v>1.7731647238740362</v>
      </c>
      <c r="U20" s="70">
        <f>+U21+U22+U23+U24+U25</f>
        <v>70448665.49000001</v>
      </c>
      <c r="V20" s="68">
        <f>+U20/C20</f>
        <v>0.4799580177640427</v>
      </c>
      <c r="W20" s="3"/>
      <c r="X20" s="3"/>
      <c r="Y20" s="3"/>
      <c r="Z20" s="3"/>
      <c r="AA20" s="3"/>
      <c r="AB20" s="2"/>
    </row>
    <row r="21" spans="1:28" ht="15">
      <c r="A21" s="94" t="s">
        <v>79</v>
      </c>
      <c r="B21" s="106" t="s">
        <v>18</v>
      </c>
      <c r="C21" s="38">
        <f>6940250*12-3378349-30000000-2500000-671000</f>
        <v>46733651</v>
      </c>
      <c r="D21" s="39"/>
      <c r="E21" s="39">
        <v>3001835</v>
      </c>
      <c r="F21" s="38">
        <v>3249064</v>
      </c>
      <c r="G21" s="38">
        <v>3182305</v>
      </c>
      <c r="H21" s="38">
        <v>3223300.48</v>
      </c>
      <c r="I21" s="38">
        <v>3159406.66</v>
      </c>
      <c r="J21" s="38">
        <v>3140689</v>
      </c>
      <c r="K21" s="38">
        <v>3096695</v>
      </c>
      <c r="L21" s="38"/>
      <c r="M21" s="38"/>
      <c r="N21" s="38"/>
      <c r="O21" s="38"/>
      <c r="P21" s="38"/>
      <c r="Q21" s="87">
        <f t="shared" si="4"/>
        <v>22053295.14</v>
      </c>
      <c r="R21" s="88">
        <f t="shared" si="1"/>
        <v>0.47189326466275877</v>
      </c>
      <c r="S21" s="87">
        <f t="shared" si="3"/>
        <v>24680355.86</v>
      </c>
      <c r="T21" s="88">
        <f t="shared" si="2"/>
        <v>0.5281067353372413</v>
      </c>
      <c r="U21" s="87">
        <f aca="true" t="shared" si="6" ref="U21:U32">+C21+D21-Q21</f>
        <v>24680355.86</v>
      </c>
      <c r="V21" s="88">
        <f aca="true" t="shared" si="7" ref="V21:V33">+U21/C21</f>
        <v>0.5281067353372413</v>
      </c>
      <c r="W21" s="3"/>
      <c r="X21" s="3"/>
      <c r="Y21" s="3"/>
      <c r="Z21" s="3"/>
      <c r="AA21" s="3"/>
      <c r="AB21" s="2"/>
    </row>
    <row r="22" spans="1:28" ht="15">
      <c r="A22" s="94" t="s">
        <v>201</v>
      </c>
      <c r="B22" s="84" t="s">
        <v>202</v>
      </c>
      <c r="C22" s="38">
        <f>1000000+1600000+1000000</f>
        <v>3600000</v>
      </c>
      <c r="D22" s="39"/>
      <c r="E22" s="39">
        <v>350000</v>
      </c>
      <c r="F22" s="38">
        <v>510000</v>
      </c>
      <c r="G22" s="38">
        <v>510000</v>
      </c>
      <c r="H22" s="38">
        <v>510000</v>
      </c>
      <c r="I22" s="38">
        <v>510000</v>
      </c>
      <c r="J22" s="38">
        <v>510000</v>
      </c>
      <c r="K22" s="38">
        <v>510000</v>
      </c>
      <c r="L22" s="38"/>
      <c r="M22" s="38"/>
      <c r="N22" s="38"/>
      <c r="O22" s="38"/>
      <c r="P22" s="38"/>
      <c r="Q22" s="87">
        <f t="shared" si="4"/>
        <v>3410000</v>
      </c>
      <c r="R22" s="88">
        <f t="shared" si="1"/>
        <v>0.9472222222222222</v>
      </c>
      <c r="S22" s="87">
        <f t="shared" si="3"/>
        <v>190000</v>
      </c>
      <c r="T22" s="88">
        <f t="shared" si="2"/>
        <v>0.05277777777777778</v>
      </c>
      <c r="U22" s="87">
        <f t="shared" si="6"/>
        <v>190000</v>
      </c>
      <c r="V22" s="88">
        <f t="shared" si="7"/>
        <v>0.05277777777777778</v>
      </c>
      <c r="W22" s="3"/>
      <c r="X22" s="3"/>
      <c r="Y22" s="3"/>
      <c r="Z22" s="3"/>
      <c r="AA22" s="3"/>
      <c r="AB22" s="2"/>
    </row>
    <row r="23" spans="1:28" ht="15">
      <c r="A23" s="94" t="s">
        <v>119</v>
      </c>
      <c r="B23" s="84" t="s">
        <v>277</v>
      </c>
      <c r="C23" s="38">
        <f>66500*12</f>
        <v>798000</v>
      </c>
      <c r="D23" s="39"/>
      <c r="E23" s="39">
        <v>66500</v>
      </c>
      <c r="F23" s="38">
        <v>66500</v>
      </c>
      <c r="G23" s="38">
        <v>66500</v>
      </c>
      <c r="H23" s="38">
        <v>66500</v>
      </c>
      <c r="I23" s="38">
        <v>66500</v>
      </c>
      <c r="J23" s="38">
        <v>66500</v>
      </c>
      <c r="K23" s="38">
        <v>66500</v>
      </c>
      <c r="L23" s="38"/>
      <c r="M23" s="38"/>
      <c r="N23" s="38"/>
      <c r="O23" s="38"/>
      <c r="P23" s="38"/>
      <c r="Q23" s="87">
        <f t="shared" si="4"/>
        <v>465500</v>
      </c>
      <c r="R23" s="90">
        <f t="shared" si="1"/>
        <v>0.5833333333333334</v>
      </c>
      <c r="S23" s="87">
        <f t="shared" si="3"/>
        <v>332500</v>
      </c>
      <c r="T23" s="88">
        <f t="shared" si="2"/>
        <v>0.4166666666666667</v>
      </c>
      <c r="U23" s="87">
        <f t="shared" si="6"/>
        <v>332500</v>
      </c>
      <c r="V23" s="88">
        <f t="shared" si="7"/>
        <v>0.4166666666666667</v>
      </c>
      <c r="W23" s="3"/>
      <c r="X23" s="3"/>
      <c r="Y23" s="3"/>
      <c r="Z23" s="3"/>
      <c r="AA23" s="3"/>
      <c r="AB23" s="2"/>
    </row>
    <row r="24" spans="1:28" ht="30">
      <c r="A24" s="94" t="s">
        <v>162</v>
      </c>
      <c r="B24" s="57" t="s">
        <v>190</v>
      </c>
      <c r="C24" s="38">
        <f>7970770*12</f>
        <v>95649240</v>
      </c>
      <c r="D24" s="39"/>
      <c r="E24" s="39">
        <v>7970770</v>
      </c>
      <c r="F24" s="38">
        <v>8018770</v>
      </c>
      <c r="G24" s="38">
        <v>8003475</v>
      </c>
      <c r="H24" s="38">
        <v>7992555</v>
      </c>
      <c r="I24" s="38">
        <v>8008131</v>
      </c>
      <c r="J24" s="38">
        <v>8000515</v>
      </c>
      <c r="K24" s="38">
        <v>8129214.37</v>
      </c>
      <c r="L24" s="38"/>
      <c r="M24" s="38"/>
      <c r="N24" s="38"/>
      <c r="O24" s="38"/>
      <c r="P24" s="38"/>
      <c r="Q24" s="87">
        <f aca="true" t="shared" si="8" ref="Q24:Q32">SUM(E24:P24)</f>
        <v>56123430.37</v>
      </c>
      <c r="R24" s="88">
        <f t="shared" si="1"/>
        <v>0.5867629514881665</v>
      </c>
      <c r="S24" s="87">
        <f t="shared" si="3"/>
        <v>39525809.63</v>
      </c>
      <c r="T24" s="88">
        <f t="shared" si="2"/>
        <v>0.41323704851183346</v>
      </c>
      <c r="U24" s="87">
        <f t="shared" si="6"/>
        <v>39525809.63</v>
      </c>
      <c r="V24" s="88">
        <f t="shared" si="7"/>
        <v>0.41323704851183346</v>
      </c>
      <c r="W24" s="3"/>
      <c r="X24" s="3"/>
      <c r="Y24" s="3"/>
      <c r="Z24" s="3"/>
      <c r="AA24" s="3"/>
      <c r="AB24" s="2"/>
    </row>
    <row r="25" spans="1:28" ht="30">
      <c r="A25" s="114" t="s">
        <v>309</v>
      </c>
      <c r="B25" s="57" t="s">
        <v>310</v>
      </c>
      <c r="C25" s="38">
        <v>0</v>
      </c>
      <c r="D25" s="39">
        <v>10640000</v>
      </c>
      <c r="E25" s="39">
        <v>720000</v>
      </c>
      <c r="F25" s="38">
        <v>720000</v>
      </c>
      <c r="G25" s="38">
        <v>720000</v>
      </c>
      <c r="H25" s="38">
        <v>640000</v>
      </c>
      <c r="I25" s="38">
        <v>720000</v>
      </c>
      <c r="J25" s="38">
        <v>720000</v>
      </c>
      <c r="K25" s="38">
        <v>680000</v>
      </c>
      <c r="L25" s="38"/>
      <c r="M25" s="38"/>
      <c r="N25" s="38"/>
      <c r="O25" s="38"/>
      <c r="P25" s="38"/>
      <c r="Q25" s="87">
        <f t="shared" si="8"/>
        <v>4920000</v>
      </c>
      <c r="R25" s="88">
        <f>+Q25/(C25+D25)</f>
        <v>0.462406015037594</v>
      </c>
      <c r="S25" s="87">
        <f>+C25-Q25</f>
        <v>-4920000</v>
      </c>
      <c r="T25" s="88" t="e">
        <f>+S25/C25</f>
        <v>#DIV/0!</v>
      </c>
      <c r="U25" s="87">
        <f>+C25+D25-Q25</f>
        <v>5720000</v>
      </c>
      <c r="V25" s="90">
        <f>+U25/D25</f>
        <v>0.5375939849624061</v>
      </c>
      <c r="W25" s="3"/>
      <c r="X25" s="3"/>
      <c r="Y25" s="3"/>
      <c r="Z25" s="3"/>
      <c r="AA25" s="3"/>
      <c r="AB25" s="2"/>
    </row>
    <row r="26" spans="1:28" ht="15">
      <c r="A26" s="26" t="s">
        <v>322</v>
      </c>
      <c r="B26" s="5" t="s">
        <v>325</v>
      </c>
      <c r="C26" s="65">
        <f>+C28+C29</f>
        <v>1300000</v>
      </c>
      <c r="D26" s="65">
        <f>+D28+D29</f>
        <v>0</v>
      </c>
      <c r="E26" s="65">
        <f>+E28+E29</f>
        <v>152939.83000000002</v>
      </c>
      <c r="F26" s="65">
        <f>+F28+F29</f>
        <v>202671.56</v>
      </c>
      <c r="G26" s="65">
        <f aca="true" t="shared" si="9" ref="G26:P26">+G28+G29</f>
        <v>106384.78</v>
      </c>
      <c r="H26" s="65">
        <f>+H28+H29</f>
        <v>138447.86000000002</v>
      </c>
      <c r="I26" s="65">
        <f>+I27+I28+I29</f>
        <v>128598.77</v>
      </c>
      <c r="J26" s="65">
        <f>+J28+J29</f>
        <v>234839.43</v>
      </c>
      <c r="K26" s="65">
        <f>+K27+K28+K29</f>
        <v>236456.27</v>
      </c>
      <c r="L26" s="65">
        <f t="shared" si="9"/>
        <v>0</v>
      </c>
      <c r="M26" s="65">
        <f t="shared" si="9"/>
        <v>0</v>
      </c>
      <c r="N26" s="65">
        <f t="shared" si="9"/>
        <v>0</v>
      </c>
      <c r="O26" s="65">
        <f t="shared" si="9"/>
        <v>0</v>
      </c>
      <c r="P26" s="65">
        <f t="shared" si="9"/>
        <v>0</v>
      </c>
      <c r="Q26" s="67">
        <f>SUM(E26:P26)</f>
        <v>1200338.5</v>
      </c>
      <c r="R26" s="68">
        <f>+Q26/(C26+D26)</f>
        <v>0.9233373076923077</v>
      </c>
      <c r="S26" s="69">
        <f>SUM(S28:S43)</f>
        <v>107547083.27</v>
      </c>
      <c r="T26" s="68">
        <f>+S26/C26</f>
        <v>82.72852559230769</v>
      </c>
      <c r="U26" s="70">
        <f>+U27+U28+U29</f>
        <v>129661.49999999994</v>
      </c>
      <c r="V26" s="68">
        <f>+U26/C26</f>
        <v>0.09973961538461534</v>
      </c>
      <c r="W26" s="3"/>
      <c r="X26" s="3"/>
      <c r="Y26" s="3"/>
      <c r="Z26" s="3"/>
      <c r="AA26" s="3"/>
      <c r="AB26" s="2"/>
    </row>
    <row r="27" spans="1:28" ht="15">
      <c r="A27" s="126" t="s">
        <v>331</v>
      </c>
      <c r="B27" s="58" t="s">
        <v>332</v>
      </c>
      <c r="C27" s="38">
        <v>30000</v>
      </c>
      <c r="D27" s="39"/>
      <c r="E27" s="39">
        <v>0</v>
      </c>
      <c r="F27" s="38">
        <v>0</v>
      </c>
      <c r="G27" s="38">
        <v>0</v>
      </c>
      <c r="H27" s="38">
        <v>0</v>
      </c>
      <c r="I27" s="38">
        <v>3000</v>
      </c>
      <c r="J27" s="38">
        <v>0</v>
      </c>
      <c r="K27" s="38">
        <v>21000</v>
      </c>
      <c r="L27" s="38"/>
      <c r="M27" s="38"/>
      <c r="N27" s="38"/>
      <c r="O27" s="38"/>
      <c r="P27" s="38"/>
      <c r="Q27" s="87">
        <f>SUM(E27:P27)</f>
        <v>24000</v>
      </c>
      <c r="R27" s="88">
        <f>+Q27/(C27+D27)</f>
        <v>0.8</v>
      </c>
      <c r="S27" s="87">
        <f>+C27-Q27</f>
        <v>6000</v>
      </c>
      <c r="T27" s="88">
        <f>+S27/C27</f>
        <v>0.2</v>
      </c>
      <c r="U27" s="87">
        <f>+C27+D27-Q27</f>
        <v>6000</v>
      </c>
      <c r="V27" s="88">
        <f>+U27/C27</f>
        <v>0.2</v>
      </c>
      <c r="W27" s="3"/>
      <c r="X27" s="3"/>
      <c r="Y27" s="3"/>
      <c r="Z27" s="3"/>
      <c r="AA27" s="3"/>
      <c r="AB27" s="2"/>
    </row>
    <row r="28" spans="1:28" ht="15">
      <c r="A28" s="94" t="s">
        <v>111</v>
      </c>
      <c r="B28" s="58" t="s">
        <v>170</v>
      </c>
      <c r="C28" s="38">
        <v>1100000</v>
      </c>
      <c r="D28" s="39"/>
      <c r="E28" s="39">
        <v>119861.25</v>
      </c>
      <c r="F28" s="38">
        <v>177991.92</v>
      </c>
      <c r="G28" s="38">
        <v>103400.74</v>
      </c>
      <c r="H28" s="38">
        <v>135494.6</v>
      </c>
      <c r="I28" s="38">
        <v>116007.5</v>
      </c>
      <c r="J28" s="38">
        <v>155321.02</v>
      </c>
      <c r="K28" s="38">
        <v>202213.4</v>
      </c>
      <c r="L28" s="38"/>
      <c r="M28" s="38"/>
      <c r="N28" s="38"/>
      <c r="O28" s="38"/>
      <c r="P28" s="38"/>
      <c r="Q28" s="87">
        <f t="shared" si="8"/>
        <v>1010290.43</v>
      </c>
      <c r="R28" s="88">
        <f t="shared" si="1"/>
        <v>0.9184458454545456</v>
      </c>
      <c r="S28" s="87">
        <f t="shared" si="3"/>
        <v>89709.56999999995</v>
      </c>
      <c r="T28" s="88">
        <f t="shared" si="2"/>
        <v>0.0815541545454545</v>
      </c>
      <c r="U28" s="87">
        <f t="shared" si="6"/>
        <v>89709.56999999995</v>
      </c>
      <c r="V28" s="88">
        <f t="shared" si="7"/>
        <v>0.0815541545454545</v>
      </c>
      <c r="W28" s="3"/>
      <c r="X28" s="3"/>
      <c r="Y28" s="3"/>
      <c r="Z28" s="3"/>
      <c r="AA28" s="3"/>
      <c r="AB28" s="2"/>
    </row>
    <row r="29" spans="1:28" ht="15">
      <c r="A29" s="94" t="s">
        <v>237</v>
      </c>
      <c r="B29" s="58" t="s">
        <v>238</v>
      </c>
      <c r="C29" s="38">
        <v>200000</v>
      </c>
      <c r="D29" s="39"/>
      <c r="E29" s="39">
        <v>33078.58</v>
      </c>
      <c r="F29" s="38">
        <v>24679.64</v>
      </c>
      <c r="G29" s="38">
        <v>2984.04</v>
      </c>
      <c r="H29" s="38">
        <v>2953.26</v>
      </c>
      <c r="I29" s="38">
        <v>9591.27</v>
      </c>
      <c r="J29" s="38">
        <v>79518.41</v>
      </c>
      <c r="K29" s="38">
        <v>13242.87</v>
      </c>
      <c r="L29" s="38"/>
      <c r="M29" s="38"/>
      <c r="N29" s="38"/>
      <c r="O29" s="38"/>
      <c r="P29" s="38"/>
      <c r="Q29" s="87">
        <f t="shared" si="8"/>
        <v>166048.07</v>
      </c>
      <c r="R29" s="88">
        <f t="shared" si="1"/>
        <v>0.8302403500000001</v>
      </c>
      <c r="S29" s="87">
        <f t="shared" si="3"/>
        <v>33951.92999999999</v>
      </c>
      <c r="T29" s="88">
        <f t="shared" si="2"/>
        <v>0.16975964999999996</v>
      </c>
      <c r="U29" s="87">
        <f t="shared" si="6"/>
        <v>33951.92999999999</v>
      </c>
      <c r="V29" s="88">
        <f t="shared" si="7"/>
        <v>0.16975964999999996</v>
      </c>
      <c r="W29" s="3"/>
      <c r="X29" s="3"/>
      <c r="Y29" s="3"/>
      <c r="Z29" s="3"/>
      <c r="AA29" s="3"/>
      <c r="AB29" s="2"/>
    </row>
    <row r="30" spans="1:28" ht="15">
      <c r="A30" s="26" t="s">
        <v>323</v>
      </c>
      <c r="B30" s="5" t="s">
        <v>326</v>
      </c>
      <c r="C30" s="65">
        <f>+C31+C32</f>
        <v>26554257.36</v>
      </c>
      <c r="D30" s="65">
        <f>+D31+D32</f>
        <v>0</v>
      </c>
      <c r="E30" s="65">
        <f>+E31+E32</f>
        <v>2119305.59</v>
      </c>
      <c r="F30" s="65">
        <f>+F31+F32</f>
        <v>2209382.52</v>
      </c>
      <c r="G30" s="65">
        <f aca="true" t="shared" si="10" ref="G30:P30">+G31+G32</f>
        <v>2206989.02</v>
      </c>
      <c r="H30" s="65">
        <f>+H31+H32</f>
        <v>2196168.5</v>
      </c>
      <c r="I30" s="65">
        <f t="shared" si="10"/>
        <v>2158163.64</v>
      </c>
      <c r="J30" s="65">
        <f>+J31+J32</f>
        <v>2179543.33</v>
      </c>
      <c r="K30" s="65">
        <f t="shared" si="10"/>
        <v>2157798.57</v>
      </c>
      <c r="L30" s="65">
        <f t="shared" si="10"/>
        <v>0</v>
      </c>
      <c r="M30" s="65">
        <f t="shared" si="10"/>
        <v>0</v>
      </c>
      <c r="N30" s="65">
        <f t="shared" si="10"/>
        <v>0</v>
      </c>
      <c r="O30" s="65">
        <f t="shared" si="10"/>
        <v>0</v>
      </c>
      <c r="P30" s="65">
        <f t="shared" si="10"/>
        <v>0</v>
      </c>
      <c r="Q30" s="67">
        <f>SUM(E30:P30)</f>
        <v>15227351.17</v>
      </c>
      <c r="R30" s="68">
        <f t="shared" si="1"/>
        <v>0.5734429309605817</v>
      </c>
      <c r="S30" s="69">
        <f>SUM(S31:S46)</f>
        <v>56085916.04</v>
      </c>
      <c r="T30" s="68">
        <f t="shared" si="2"/>
        <v>2.1121251963342424</v>
      </c>
      <c r="U30" s="70">
        <f>+U31+U32</f>
        <v>11326906.190000001</v>
      </c>
      <c r="V30" s="68">
        <f t="shared" si="7"/>
        <v>0.4265570690394183</v>
      </c>
      <c r="W30" s="3"/>
      <c r="X30" s="3"/>
      <c r="Y30" s="3"/>
      <c r="Z30" s="3"/>
      <c r="AA30" s="3"/>
      <c r="AB30" s="2"/>
    </row>
    <row r="31" spans="1:28" ht="15">
      <c r="A31" s="95" t="s">
        <v>80</v>
      </c>
      <c r="B31" s="22" t="s">
        <v>19</v>
      </c>
      <c r="C31" s="38">
        <v>22718687.16</v>
      </c>
      <c r="D31" s="39"/>
      <c r="E31" s="39">
        <v>1812530.04</v>
      </c>
      <c r="F31" s="38">
        <v>1889166.07</v>
      </c>
      <c r="G31" s="38">
        <v>1887521.09</v>
      </c>
      <c r="H31" s="38">
        <v>1878616.5</v>
      </c>
      <c r="I31" s="38">
        <v>1845774.57</v>
      </c>
      <c r="J31" s="38">
        <v>1865471.23</v>
      </c>
      <c r="K31" s="38">
        <v>1845222.77</v>
      </c>
      <c r="L31" s="38"/>
      <c r="M31" s="38"/>
      <c r="N31" s="38"/>
      <c r="O31" s="38"/>
      <c r="P31" s="38"/>
      <c r="Q31" s="87">
        <f>SUM(E31:P31)</f>
        <v>13024302.27</v>
      </c>
      <c r="R31" s="88">
        <f t="shared" si="1"/>
        <v>0.5732858671926886</v>
      </c>
      <c r="S31" s="87">
        <f t="shared" si="3"/>
        <v>9694384.89</v>
      </c>
      <c r="T31" s="88">
        <f t="shared" si="2"/>
        <v>0.4267141328073114</v>
      </c>
      <c r="U31" s="87">
        <f t="shared" si="6"/>
        <v>9694384.89</v>
      </c>
      <c r="V31" s="88">
        <f t="shared" si="7"/>
        <v>0.4267141328073114</v>
      </c>
      <c r="W31" s="3"/>
      <c r="X31" s="3"/>
      <c r="Y31" s="3"/>
      <c r="Z31" s="3"/>
      <c r="AA31" s="3"/>
      <c r="AB31" s="2"/>
    </row>
    <row r="32" spans="1:28" ht="15">
      <c r="A32" s="94" t="s">
        <v>145</v>
      </c>
      <c r="B32" s="57" t="s">
        <v>278</v>
      </c>
      <c r="C32" s="38">
        <v>3835570.2</v>
      </c>
      <c r="D32" s="39"/>
      <c r="E32" s="39">
        <v>306775.55</v>
      </c>
      <c r="F32" s="38">
        <v>320216.45</v>
      </c>
      <c r="G32" s="38">
        <v>319467.93</v>
      </c>
      <c r="H32" s="38">
        <v>317552</v>
      </c>
      <c r="I32" s="38">
        <v>312389.07</v>
      </c>
      <c r="J32" s="38">
        <v>314072.1</v>
      </c>
      <c r="K32" s="38">
        <v>312575.8</v>
      </c>
      <c r="L32" s="38"/>
      <c r="M32" s="38"/>
      <c r="N32" s="38"/>
      <c r="O32" s="38"/>
      <c r="P32" s="38"/>
      <c r="Q32" s="87">
        <f t="shared" si="8"/>
        <v>2203048.9</v>
      </c>
      <c r="R32" s="88">
        <f t="shared" si="1"/>
        <v>0.5743732444266043</v>
      </c>
      <c r="S32" s="87">
        <f t="shared" si="3"/>
        <v>1632521.3000000003</v>
      </c>
      <c r="T32" s="88">
        <f t="shared" si="2"/>
        <v>0.42562675557339563</v>
      </c>
      <c r="U32" s="87">
        <f t="shared" si="6"/>
        <v>1632521.3000000003</v>
      </c>
      <c r="V32" s="88">
        <f t="shared" si="7"/>
        <v>0.42562675557339563</v>
      </c>
      <c r="W32" s="3"/>
      <c r="X32" s="3"/>
      <c r="Y32" s="3"/>
      <c r="Z32" s="3"/>
      <c r="AA32" s="3"/>
      <c r="AB32" s="2"/>
    </row>
    <row r="33" spans="1:29" s="7" customFormat="1" ht="15">
      <c r="A33" s="20" t="s">
        <v>20</v>
      </c>
      <c r="B33" s="8" t="s">
        <v>262</v>
      </c>
      <c r="C33" s="66">
        <f>+C35+C36+C37+C38+C39+C40</f>
        <v>58827081</v>
      </c>
      <c r="D33" s="66">
        <f>+D36+D37+D38+D39+D40</f>
        <v>0</v>
      </c>
      <c r="E33" s="66">
        <f>+E36+E37+E38+E39+E40</f>
        <v>4893367.68</v>
      </c>
      <c r="F33" s="66">
        <f>+F35+F36+F37+F38+F39+F40</f>
        <v>4553892.93</v>
      </c>
      <c r="G33" s="66">
        <f aca="true" t="shared" si="11" ref="G33:P33">+G35+G36+G37+G38+G39+G40</f>
        <v>4747549.72</v>
      </c>
      <c r="H33" s="66">
        <f>+H35+H36+H37+H38+H39+H40</f>
        <v>4684017.65</v>
      </c>
      <c r="I33" s="66">
        <f t="shared" si="11"/>
        <v>5079639.26</v>
      </c>
      <c r="J33" s="66">
        <f>+J35+J36+J37+J38+J39+J40</f>
        <v>2614948</v>
      </c>
      <c r="K33" s="66">
        <f t="shared" si="11"/>
        <v>8017344.37</v>
      </c>
      <c r="L33" s="66">
        <f t="shared" si="11"/>
        <v>0</v>
      </c>
      <c r="M33" s="66">
        <f t="shared" si="11"/>
        <v>0</v>
      </c>
      <c r="N33" s="66">
        <f t="shared" si="11"/>
        <v>0</v>
      </c>
      <c r="O33" s="66">
        <f t="shared" si="11"/>
        <v>0</v>
      </c>
      <c r="P33" s="66">
        <f t="shared" si="11"/>
        <v>0</v>
      </c>
      <c r="Q33" s="70">
        <f>SUM(E33:P33)</f>
        <v>34590759.60999999</v>
      </c>
      <c r="R33" s="71">
        <f>+Q33/C33</f>
        <v>0.588007411246531</v>
      </c>
      <c r="S33" s="70">
        <f>SUM(S37:S40)</f>
        <v>14976266.95</v>
      </c>
      <c r="T33" s="71">
        <f t="shared" si="2"/>
        <v>0.25458116730286173</v>
      </c>
      <c r="U33" s="70">
        <f>+U35+U36+U37+U38+U39+U40</f>
        <v>24236321.389999997</v>
      </c>
      <c r="V33" s="68">
        <f t="shared" si="7"/>
        <v>0.4119925887534688</v>
      </c>
      <c r="W33" s="3"/>
      <c r="X33" s="3"/>
      <c r="Y33" s="3"/>
      <c r="Z33" s="3"/>
      <c r="AA33" s="3"/>
      <c r="AB33" s="2"/>
      <c r="AC33" s="2"/>
    </row>
    <row r="34" spans="1:29" s="7" customFormat="1" ht="17.25" customHeight="1" hidden="1">
      <c r="A34" s="43" t="s">
        <v>21</v>
      </c>
      <c r="B34" s="6" t="s">
        <v>22</v>
      </c>
      <c r="C34" s="4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0"/>
      <c r="R34" s="50"/>
      <c r="S34" s="51"/>
      <c r="T34" s="51"/>
      <c r="U34" s="50"/>
      <c r="V34" s="50"/>
      <c r="W34" s="3"/>
      <c r="X34" s="3"/>
      <c r="Y34" s="3"/>
      <c r="Z34" s="3"/>
      <c r="AA34" s="3"/>
      <c r="AB34" s="2"/>
      <c r="AC34" s="2"/>
    </row>
    <row r="35" spans="1:29" s="7" customFormat="1" ht="15">
      <c r="A35" s="122" t="s">
        <v>315</v>
      </c>
      <c r="B35" s="22" t="s">
        <v>316</v>
      </c>
      <c r="C35" s="38">
        <f>200000+200000</f>
        <v>400000</v>
      </c>
      <c r="D35" s="39"/>
      <c r="E35" s="39">
        <v>0</v>
      </c>
      <c r="F35" s="38">
        <v>10677.36</v>
      </c>
      <c r="G35" s="38">
        <v>0</v>
      </c>
      <c r="H35" s="38">
        <v>0</v>
      </c>
      <c r="I35" s="38">
        <v>0</v>
      </c>
      <c r="J35" s="38">
        <v>298969.52</v>
      </c>
      <c r="K35" s="38">
        <v>0</v>
      </c>
      <c r="L35" s="38"/>
      <c r="M35" s="38"/>
      <c r="N35" s="38"/>
      <c r="O35" s="38"/>
      <c r="P35" s="38"/>
      <c r="Q35" s="87">
        <f>SUM(E35:P35)</f>
        <v>309646.88</v>
      </c>
      <c r="R35" s="88">
        <f>+Q35/C35</f>
        <v>0.7741172000000001</v>
      </c>
      <c r="S35" s="87">
        <f>+C35-Q35</f>
        <v>90353.12</v>
      </c>
      <c r="T35" s="88">
        <f>+S35/C35</f>
        <v>0.2258828</v>
      </c>
      <c r="U35" s="87">
        <f>+C35+D35-Q35</f>
        <v>90353.12</v>
      </c>
      <c r="V35" s="88">
        <f>+U35/C35</f>
        <v>0.2258828</v>
      </c>
      <c r="W35" s="3"/>
      <c r="X35" s="3"/>
      <c r="Y35" s="3"/>
      <c r="Z35" s="3"/>
      <c r="AA35" s="3"/>
      <c r="AB35" s="2"/>
      <c r="AC35" s="2"/>
    </row>
    <row r="36" spans="1:29" s="7" customFormat="1" ht="15">
      <c r="A36" s="95" t="s">
        <v>81</v>
      </c>
      <c r="B36" s="22" t="s">
        <v>23</v>
      </c>
      <c r="C36" s="38">
        <f>1912500*12-2000000</f>
        <v>20950000</v>
      </c>
      <c r="D36" s="39"/>
      <c r="E36" s="39">
        <v>1616942.69</v>
      </c>
      <c r="F36" s="38">
        <v>1560563.21</v>
      </c>
      <c r="G36" s="38">
        <v>1756576.28</v>
      </c>
      <c r="H36" s="38">
        <v>1682178.16</v>
      </c>
      <c r="I36" s="38">
        <v>1791987.57</v>
      </c>
      <c r="J36" s="38">
        <v>1686629.18</v>
      </c>
      <c r="K36" s="38">
        <v>1685421.59</v>
      </c>
      <c r="L36" s="38"/>
      <c r="M36" s="38"/>
      <c r="N36" s="38"/>
      <c r="O36" s="38"/>
      <c r="P36" s="38"/>
      <c r="Q36" s="87">
        <f aca="true" t="shared" si="12" ref="Q36:Q60">SUM(E36:P36)</f>
        <v>11780298.68</v>
      </c>
      <c r="R36" s="88">
        <f aca="true" t="shared" si="13" ref="R36:R41">+Q36/C36</f>
        <v>0.5623054262529833</v>
      </c>
      <c r="S36" s="87">
        <f aca="true" t="shared" si="14" ref="S36:S66">+C36-Q36</f>
        <v>9169701.32</v>
      </c>
      <c r="T36" s="88">
        <f aca="true" t="shared" si="15" ref="T36:T66">+S36/C36</f>
        <v>0.4376945737470167</v>
      </c>
      <c r="U36" s="87">
        <f aca="true" t="shared" si="16" ref="U36:U60">+C36+D36-Q36</f>
        <v>9169701.32</v>
      </c>
      <c r="V36" s="88">
        <f aca="true" t="shared" si="17" ref="V36:V51">+U36/C36</f>
        <v>0.4376945737470167</v>
      </c>
      <c r="W36" s="3"/>
      <c r="X36" s="3"/>
      <c r="Y36" s="3"/>
      <c r="Z36" s="3"/>
      <c r="AA36" s="3"/>
      <c r="AB36" s="2"/>
      <c r="AC36" s="2"/>
    </row>
    <row r="37" spans="1:29" s="7" customFormat="1" ht="15">
      <c r="A37" s="95" t="s">
        <v>82</v>
      </c>
      <c r="B37" s="22" t="s">
        <v>24</v>
      </c>
      <c r="C37" s="38">
        <f>277000*12+2000000</f>
        <v>5324000</v>
      </c>
      <c r="D37" s="39"/>
      <c r="E37" s="39">
        <v>611224.81</v>
      </c>
      <c r="F37" s="38">
        <v>595169.61</v>
      </c>
      <c r="G37" s="38">
        <v>646549.06</v>
      </c>
      <c r="H37" s="38">
        <v>607021.74</v>
      </c>
      <c r="I37" s="38">
        <v>614380.75</v>
      </c>
      <c r="J37" s="38">
        <v>604947.2</v>
      </c>
      <c r="K37" s="38">
        <v>512562.65</v>
      </c>
      <c r="L37" s="38"/>
      <c r="M37" s="38"/>
      <c r="N37" s="38"/>
      <c r="O37" s="38"/>
      <c r="P37" s="38"/>
      <c r="Q37" s="87">
        <f t="shared" si="12"/>
        <v>4191855.82</v>
      </c>
      <c r="R37" s="88">
        <f t="shared" si="13"/>
        <v>0.787350830202855</v>
      </c>
      <c r="S37" s="87">
        <f t="shared" si="14"/>
        <v>1132144.1800000002</v>
      </c>
      <c r="T37" s="88">
        <f t="shared" si="15"/>
        <v>0.21264916979714504</v>
      </c>
      <c r="U37" s="87">
        <f t="shared" si="16"/>
        <v>1132144.1800000002</v>
      </c>
      <c r="V37" s="88">
        <f t="shared" si="17"/>
        <v>0.21264916979714504</v>
      </c>
      <c r="W37" s="3"/>
      <c r="X37" s="3"/>
      <c r="Y37" s="3"/>
      <c r="Z37" s="3"/>
      <c r="AA37" s="3"/>
      <c r="AB37" s="2"/>
      <c r="AC37" s="2"/>
    </row>
    <row r="38" spans="1:29" s="7" customFormat="1" ht="15">
      <c r="A38" s="95" t="s">
        <v>181</v>
      </c>
      <c r="B38" s="22" t="s">
        <v>180</v>
      </c>
      <c r="C38" s="119">
        <v>31865081</v>
      </c>
      <c r="D38" s="39"/>
      <c r="E38" s="39">
        <v>2632561.18</v>
      </c>
      <c r="F38" s="38">
        <v>2370160.75</v>
      </c>
      <c r="G38" s="38">
        <v>2331515.38</v>
      </c>
      <c r="H38" s="38">
        <v>2326810.31</v>
      </c>
      <c r="I38" s="38">
        <v>2658512.94</v>
      </c>
      <c r="J38" s="38">
        <v>0</v>
      </c>
      <c r="K38" s="38">
        <v>5805494.08</v>
      </c>
      <c r="L38" s="38"/>
      <c r="M38" s="38"/>
      <c r="N38" s="38"/>
      <c r="O38" s="38"/>
      <c r="P38" s="38"/>
      <c r="Q38" s="87">
        <f t="shared" si="12"/>
        <v>18125054.64</v>
      </c>
      <c r="R38" s="88">
        <f>+Q38/(C38+D38)</f>
        <v>0.5688061687337308</v>
      </c>
      <c r="S38" s="87">
        <f t="shared" si="14"/>
        <v>13740026.36</v>
      </c>
      <c r="T38" s="88">
        <f t="shared" si="15"/>
        <v>0.43119383126626915</v>
      </c>
      <c r="U38" s="87">
        <f t="shared" si="16"/>
        <v>13740026.36</v>
      </c>
      <c r="V38" s="88">
        <f t="shared" si="17"/>
        <v>0.43119383126626915</v>
      </c>
      <c r="W38" s="3"/>
      <c r="X38" s="3"/>
      <c r="Y38" s="3"/>
      <c r="Z38" s="3"/>
      <c r="AA38" s="3"/>
      <c r="AB38" s="2"/>
      <c r="AC38" s="2"/>
    </row>
    <row r="39" spans="1:29" s="7" customFormat="1" ht="15">
      <c r="A39" s="95" t="s">
        <v>83</v>
      </c>
      <c r="B39" s="22" t="s">
        <v>25</v>
      </c>
      <c r="C39" s="38">
        <f>20000*12</f>
        <v>240000</v>
      </c>
      <c r="D39" s="39"/>
      <c r="E39" s="39">
        <v>28065</v>
      </c>
      <c r="F39" s="38">
        <v>12669</v>
      </c>
      <c r="G39" s="38">
        <v>8572</v>
      </c>
      <c r="H39" s="38">
        <v>63658.44</v>
      </c>
      <c r="I39" s="38">
        <v>10401</v>
      </c>
      <c r="J39" s="38">
        <v>20045.1</v>
      </c>
      <c r="K39" s="38">
        <v>9529.05</v>
      </c>
      <c r="L39" s="38"/>
      <c r="M39" s="38"/>
      <c r="N39" s="38"/>
      <c r="O39" s="38"/>
      <c r="P39" s="38"/>
      <c r="Q39" s="87">
        <f t="shared" si="12"/>
        <v>152939.59</v>
      </c>
      <c r="R39" s="88">
        <f t="shared" si="13"/>
        <v>0.6372482916666666</v>
      </c>
      <c r="S39" s="87">
        <f t="shared" si="14"/>
        <v>87060.41</v>
      </c>
      <c r="T39" s="88">
        <f t="shared" si="15"/>
        <v>0.36275170833333337</v>
      </c>
      <c r="U39" s="87">
        <f t="shared" si="16"/>
        <v>87060.41</v>
      </c>
      <c r="V39" s="88">
        <f t="shared" si="17"/>
        <v>0.36275170833333337</v>
      </c>
      <c r="W39" s="3"/>
      <c r="X39" s="3"/>
      <c r="Y39" s="3"/>
      <c r="Z39" s="3"/>
      <c r="AA39" s="3"/>
      <c r="AB39" s="2"/>
      <c r="AC39" s="2"/>
    </row>
    <row r="40" spans="1:29" s="7" customFormat="1" ht="15">
      <c r="A40" s="95" t="s">
        <v>84</v>
      </c>
      <c r="B40" s="22" t="s">
        <v>26</v>
      </c>
      <c r="C40" s="38">
        <f>4000*12</f>
        <v>48000</v>
      </c>
      <c r="D40" s="39"/>
      <c r="E40" s="39">
        <v>4574</v>
      </c>
      <c r="F40" s="38">
        <v>4653</v>
      </c>
      <c r="G40" s="38">
        <v>4337</v>
      </c>
      <c r="H40" s="38">
        <v>4349</v>
      </c>
      <c r="I40" s="38">
        <v>4357</v>
      </c>
      <c r="J40" s="38">
        <v>4357</v>
      </c>
      <c r="K40" s="38">
        <v>4337</v>
      </c>
      <c r="L40" s="38"/>
      <c r="M40" s="38"/>
      <c r="N40" s="38"/>
      <c r="O40" s="38"/>
      <c r="P40" s="38"/>
      <c r="Q40" s="87">
        <f t="shared" si="12"/>
        <v>30964</v>
      </c>
      <c r="R40" s="88">
        <f t="shared" si="13"/>
        <v>0.6450833333333333</v>
      </c>
      <c r="S40" s="87">
        <f t="shared" si="14"/>
        <v>17036</v>
      </c>
      <c r="T40" s="88">
        <f t="shared" si="15"/>
        <v>0.35491666666666666</v>
      </c>
      <c r="U40" s="87">
        <f t="shared" si="16"/>
        <v>17036</v>
      </c>
      <c r="V40" s="88">
        <f t="shared" si="17"/>
        <v>0.35491666666666666</v>
      </c>
      <c r="W40" s="3"/>
      <c r="X40" s="3"/>
      <c r="Y40" s="3"/>
      <c r="Z40" s="3"/>
      <c r="AA40" s="3"/>
      <c r="AB40" s="2"/>
      <c r="AC40" s="2"/>
    </row>
    <row r="41" spans="1:29" s="7" customFormat="1" ht="15">
      <c r="A41" s="20" t="s">
        <v>27</v>
      </c>
      <c r="B41" s="8" t="s">
        <v>263</v>
      </c>
      <c r="C41" s="66">
        <f>+C42+C43</f>
        <v>460000</v>
      </c>
      <c r="D41" s="66">
        <f>+D42+D43</f>
        <v>0</v>
      </c>
      <c r="E41" s="66">
        <f aca="true" t="shared" si="18" ref="E41:P41">SUM(E43:E43)</f>
        <v>0</v>
      </c>
      <c r="F41" s="66">
        <f t="shared" si="18"/>
        <v>0</v>
      </c>
      <c r="G41" s="66">
        <f t="shared" si="18"/>
        <v>0</v>
      </c>
      <c r="H41" s="66">
        <f t="shared" si="18"/>
        <v>0</v>
      </c>
      <c r="I41" s="66">
        <f t="shared" si="18"/>
        <v>59495.8</v>
      </c>
      <c r="J41" s="66">
        <f t="shared" si="18"/>
        <v>1498.6</v>
      </c>
      <c r="K41" s="66">
        <f t="shared" si="18"/>
        <v>0</v>
      </c>
      <c r="L41" s="66">
        <f>+L42+L43</f>
        <v>0</v>
      </c>
      <c r="M41" s="66">
        <f t="shared" si="18"/>
        <v>0</v>
      </c>
      <c r="N41" s="66">
        <f t="shared" si="18"/>
        <v>0</v>
      </c>
      <c r="O41" s="66">
        <f t="shared" si="18"/>
        <v>0</v>
      </c>
      <c r="P41" s="66">
        <f t="shared" si="18"/>
        <v>0</v>
      </c>
      <c r="Q41" s="70">
        <f>SUM(E41:P41)</f>
        <v>60994.4</v>
      </c>
      <c r="R41" s="71">
        <f t="shared" si="13"/>
        <v>0.13259652173913045</v>
      </c>
      <c r="S41" s="70">
        <f t="shared" si="14"/>
        <v>399005.6</v>
      </c>
      <c r="T41" s="71">
        <f t="shared" si="15"/>
        <v>0.8674034782608695</v>
      </c>
      <c r="U41" s="70">
        <f>+C41+D41-Q41</f>
        <v>399005.6</v>
      </c>
      <c r="V41" s="68">
        <f t="shared" si="17"/>
        <v>0.8674034782608695</v>
      </c>
      <c r="W41" s="3"/>
      <c r="X41" s="3"/>
      <c r="Y41" s="3"/>
      <c r="Z41" s="3"/>
      <c r="AA41" s="3"/>
      <c r="AB41" s="2"/>
      <c r="AC41" s="2"/>
    </row>
    <row r="42" spans="1:29" s="7" customFormat="1" ht="15">
      <c r="A42" s="95" t="s">
        <v>85</v>
      </c>
      <c r="B42" s="22" t="s">
        <v>28</v>
      </c>
      <c r="C42" s="38">
        <f>30000*12</f>
        <v>360000</v>
      </c>
      <c r="D42" s="39"/>
      <c r="E42" s="39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/>
      <c r="M42" s="38"/>
      <c r="N42" s="38"/>
      <c r="O42" s="38"/>
      <c r="P42" s="38"/>
      <c r="Q42" s="87">
        <f t="shared" si="12"/>
        <v>0</v>
      </c>
      <c r="R42" s="88">
        <f>+Q42/(D42+C42)</f>
        <v>0</v>
      </c>
      <c r="S42" s="87">
        <f t="shared" si="14"/>
        <v>360000</v>
      </c>
      <c r="T42" s="88">
        <f t="shared" si="15"/>
        <v>1</v>
      </c>
      <c r="U42" s="87">
        <f t="shared" si="16"/>
        <v>360000</v>
      </c>
      <c r="V42" s="88">
        <f t="shared" si="17"/>
        <v>1</v>
      </c>
      <c r="W42" s="3"/>
      <c r="X42" s="3"/>
      <c r="Y42" s="3"/>
      <c r="Z42" s="3"/>
      <c r="AA42" s="3"/>
      <c r="AB42" s="2"/>
      <c r="AC42" s="2"/>
    </row>
    <row r="43" spans="1:29" s="7" customFormat="1" ht="15">
      <c r="A43" s="95" t="s">
        <v>223</v>
      </c>
      <c r="B43" s="22" t="s">
        <v>222</v>
      </c>
      <c r="C43" s="38">
        <v>100000</v>
      </c>
      <c r="D43" s="39"/>
      <c r="E43" s="39">
        <v>0</v>
      </c>
      <c r="F43" s="38">
        <v>0</v>
      </c>
      <c r="G43" s="38">
        <v>0</v>
      </c>
      <c r="H43" s="38">
        <v>0</v>
      </c>
      <c r="I43" s="38">
        <v>59495.8</v>
      </c>
      <c r="J43" s="38">
        <v>1498.6</v>
      </c>
      <c r="K43" s="38">
        <v>0</v>
      </c>
      <c r="L43" s="38"/>
      <c r="M43" s="38"/>
      <c r="N43" s="38"/>
      <c r="O43" s="38"/>
      <c r="P43" s="38"/>
      <c r="Q43" s="87">
        <f t="shared" si="12"/>
        <v>60994.4</v>
      </c>
      <c r="R43" s="88">
        <f>+Q43/(D43+C43)</f>
        <v>0.609944</v>
      </c>
      <c r="S43" s="87">
        <f t="shared" si="14"/>
        <v>39005.6</v>
      </c>
      <c r="T43" s="88">
        <f t="shared" si="15"/>
        <v>0.39005599999999996</v>
      </c>
      <c r="U43" s="87">
        <f t="shared" si="16"/>
        <v>39005.6</v>
      </c>
      <c r="V43" s="88">
        <f t="shared" si="17"/>
        <v>0.39005599999999996</v>
      </c>
      <c r="W43" s="3"/>
      <c r="X43" s="3"/>
      <c r="Y43" s="3"/>
      <c r="Z43" s="3"/>
      <c r="AA43" s="3"/>
      <c r="AB43" s="2"/>
      <c r="AC43" s="2"/>
    </row>
    <row r="44" spans="1:29" s="7" customFormat="1" ht="15">
      <c r="A44" s="20" t="s">
        <v>29</v>
      </c>
      <c r="B44" s="8" t="s">
        <v>264</v>
      </c>
      <c r="C44" s="66">
        <f>SUM(C45:C45)</f>
        <v>6903600</v>
      </c>
      <c r="D44" s="66">
        <f>+D45</f>
        <v>2898000</v>
      </c>
      <c r="E44" s="66">
        <f aca="true" t="shared" si="19" ref="E44:P44">SUM(E45:E45)</f>
        <v>498600</v>
      </c>
      <c r="F44" s="66">
        <f t="shared" si="19"/>
        <v>567700</v>
      </c>
      <c r="G44" s="66">
        <f t="shared" si="19"/>
        <v>626600</v>
      </c>
      <c r="H44" s="66">
        <f>SUM(H45:H45)</f>
        <v>546700</v>
      </c>
      <c r="I44" s="66">
        <f t="shared" si="19"/>
        <v>643200</v>
      </c>
      <c r="J44" s="66">
        <f t="shared" si="19"/>
        <v>1018500</v>
      </c>
      <c r="K44" s="66">
        <f t="shared" si="19"/>
        <v>752100</v>
      </c>
      <c r="L44" s="66">
        <f t="shared" si="19"/>
        <v>0</v>
      </c>
      <c r="M44" s="66">
        <f t="shared" si="19"/>
        <v>0</v>
      </c>
      <c r="N44" s="66">
        <f t="shared" si="19"/>
        <v>0</v>
      </c>
      <c r="O44" s="66">
        <f t="shared" si="19"/>
        <v>0</v>
      </c>
      <c r="P44" s="66">
        <f t="shared" si="19"/>
        <v>0</v>
      </c>
      <c r="Q44" s="70">
        <f>SUM(E44:P44)</f>
        <v>4653400</v>
      </c>
      <c r="R44" s="71">
        <f aca="true" t="shared" si="20" ref="R44:R51">+Q44/C44</f>
        <v>0.6740541166927401</v>
      </c>
      <c r="S44" s="70">
        <f t="shared" si="14"/>
        <v>2250200</v>
      </c>
      <c r="T44" s="71">
        <f t="shared" si="15"/>
        <v>0.32594588330726</v>
      </c>
      <c r="U44" s="70">
        <f>+C44+D44-Q44</f>
        <v>5148200</v>
      </c>
      <c r="V44" s="71">
        <f t="shared" si="17"/>
        <v>0.745726867141781</v>
      </c>
      <c r="W44" s="3"/>
      <c r="X44" s="3"/>
      <c r="Y44" s="3"/>
      <c r="Z44" s="3"/>
      <c r="AA44" s="3"/>
      <c r="AB44" s="2"/>
      <c r="AC44" s="2"/>
    </row>
    <row r="45" spans="1:29" s="7" customFormat="1" ht="15">
      <c r="A45" s="95" t="s">
        <v>86</v>
      </c>
      <c r="B45" s="22" t="s">
        <v>30</v>
      </c>
      <c r="C45" s="38">
        <f>575300*12</f>
        <v>6903600</v>
      </c>
      <c r="D45" s="39">
        <v>2898000</v>
      </c>
      <c r="E45" s="39">
        <v>498600</v>
      </c>
      <c r="F45" s="38">
        <v>567700</v>
      </c>
      <c r="G45" s="38">
        <v>626600</v>
      </c>
      <c r="H45" s="38">
        <v>546700</v>
      </c>
      <c r="I45" s="38">
        <v>643200</v>
      </c>
      <c r="J45" s="38">
        <v>1018500</v>
      </c>
      <c r="K45" s="38">
        <v>752100</v>
      </c>
      <c r="L45" s="38"/>
      <c r="M45" s="38"/>
      <c r="N45" s="38"/>
      <c r="O45" s="38"/>
      <c r="P45" s="38"/>
      <c r="Q45" s="87">
        <f t="shared" si="12"/>
        <v>4653400</v>
      </c>
      <c r="R45" s="88">
        <f t="shared" si="20"/>
        <v>0.6740541166927401</v>
      </c>
      <c r="S45" s="87">
        <f t="shared" si="14"/>
        <v>2250200</v>
      </c>
      <c r="T45" s="88">
        <f t="shared" si="15"/>
        <v>0.32594588330726</v>
      </c>
      <c r="U45" s="87">
        <f t="shared" si="16"/>
        <v>5148200</v>
      </c>
      <c r="V45" s="88">
        <f t="shared" si="17"/>
        <v>0.745726867141781</v>
      </c>
      <c r="W45" s="3"/>
      <c r="X45" s="3"/>
      <c r="Y45" s="3"/>
      <c r="Z45" s="3"/>
      <c r="AA45" s="3"/>
      <c r="AB45" s="2"/>
      <c r="AC45" s="2"/>
    </row>
    <row r="46" spans="1:29" s="7" customFormat="1" ht="15">
      <c r="A46" s="20" t="s">
        <v>31</v>
      </c>
      <c r="B46" s="8" t="s">
        <v>265</v>
      </c>
      <c r="C46" s="66">
        <f aca="true" t="shared" si="21" ref="C46:I46">+C47+C48</f>
        <v>556010.31</v>
      </c>
      <c r="D46" s="66">
        <f>+D47+D48</f>
        <v>0</v>
      </c>
      <c r="E46" s="66">
        <f t="shared" si="21"/>
        <v>46000</v>
      </c>
      <c r="F46" s="66">
        <f t="shared" si="21"/>
        <v>42000</v>
      </c>
      <c r="G46" s="66">
        <f t="shared" si="21"/>
        <v>40000</v>
      </c>
      <c r="H46" s="66">
        <f>+H47+H48</f>
        <v>42000</v>
      </c>
      <c r="I46" s="66">
        <f t="shared" si="21"/>
        <v>42000</v>
      </c>
      <c r="J46" s="66">
        <f aca="true" t="shared" si="22" ref="J46:P46">+J47+J48</f>
        <v>42000</v>
      </c>
      <c r="K46" s="66">
        <f t="shared" si="22"/>
        <v>54000</v>
      </c>
      <c r="L46" s="66">
        <f t="shared" si="22"/>
        <v>0</v>
      </c>
      <c r="M46" s="66">
        <f t="shared" si="22"/>
        <v>0</v>
      </c>
      <c r="N46" s="66">
        <f t="shared" si="22"/>
        <v>0</v>
      </c>
      <c r="O46" s="66">
        <f t="shared" si="22"/>
        <v>0</v>
      </c>
      <c r="P46" s="66">
        <f t="shared" si="22"/>
        <v>0</v>
      </c>
      <c r="Q46" s="70">
        <f>SUM(E46:P46)</f>
        <v>308000</v>
      </c>
      <c r="R46" s="71">
        <f t="shared" si="20"/>
        <v>0.5539465626096034</v>
      </c>
      <c r="S46" s="70">
        <f t="shared" si="14"/>
        <v>248010.31000000006</v>
      </c>
      <c r="T46" s="71">
        <f t="shared" si="15"/>
        <v>0.44605343739039666</v>
      </c>
      <c r="U46" s="70">
        <f>+U47+U48</f>
        <v>248010.31</v>
      </c>
      <c r="V46" s="68">
        <f t="shared" si="17"/>
        <v>0.44605343739039655</v>
      </c>
      <c r="W46" s="3"/>
      <c r="X46" s="3"/>
      <c r="Y46" s="3"/>
      <c r="Z46" s="3"/>
      <c r="AA46" s="3"/>
      <c r="AB46" s="2"/>
      <c r="AC46" s="2"/>
    </row>
    <row r="47" spans="1:29" s="7" customFormat="1" ht="15">
      <c r="A47" s="95" t="s">
        <v>87</v>
      </c>
      <c r="B47" s="22" t="s">
        <v>147</v>
      </c>
      <c r="C47" s="38">
        <f>48000*12-300000+100000</f>
        <v>376000</v>
      </c>
      <c r="D47" s="39"/>
      <c r="E47" s="39">
        <v>46000</v>
      </c>
      <c r="F47" s="38">
        <v>42000</v>
      </c>
      <c r="G47" s="38">
        <v>40000</v>
      </c>
      <c r="H47" s="38">
        <v>42000</v>
      </c>
      <c r="I47" s="38">
        <v>42000</v>
      </c>
      <c r="J47" s="38">
        <v>42000</v>
      </c>
      <c r="K47" s="38">
        <v>54000</v>
      </c>
      <c r="L47" s="38"/>
      <c r="M47" s="38"/>
      <c r="N47" s="38"/>
      <c r="O47" s="38"/>
      <c r="P47" s="38"/>
      <c r="Q47" s="87">
        <f t="shared" si="12"/>
        <v>308000</v>
      </c>
      <c r="R47" s="88">
        <f t="shared" si="20"/>
        <v>0.8191489361702128</v>
      </c>
      <c r="S47" s="87">
        <f t="shared" si="14"/>
        <v>68000</v>
      </c>
      <c r="T47" s="88">
        <f t="shared" si="15"/>
        <v>0.18085106382978725</v>
      </c>
      <c r="U47" s="87">
        <f t="shared" si="16"/>
        <v>68000</v>
      </c>
      <c r="V47" s="88">
        <f t="shared" si="17"/>
        <v>0.18085106382978725</v>
      </c>
      <c r="W47" s="3"/>
      <c r="X47" s="3"/>
      <c r="Y47" s="3"/>
      <c r="Z47" s="3"/>
      <c r="AA47" s="3"/>
      <c r="AB47" s="2"/>
      <c r="AC47" s="2"/>
    </row>
    <row r="48" spans="1:29" s="7" customFormat="1" ht="15">
      <c r="A48" s="95" t="s">
        <v>224</v>
      </c>
      <c r="B48" s="22" t="s">
        <v>225</v>
      </c>
      <c r="C48" s="38">
        <v>180010.31</v>
      </c>
      <c r="D48" s="39"/>
      <c r="E48" s="39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/>
      <c r="M48" s="38"/>
      <c r="N48" s="38"/>
      <c r="O48" s="38"/>
      <c r="P48" s="38"/>
      <c r="Q48" s="87">
        <f t="shared" si="12"/>
        <v>0</v>
      </c>
      <c r="R48" s="88">
        <f t="shared" si="20"/>
        <v>0</v>
      </c>
      <c r="S48" s="87">
        <f t="shared" si="14"/>
        <v>180010.31</v>
      </c>
      <c r="T48" s="88">
        <f t="shared" si="15"/>
        <v>1</v>
      </c>
      <c r="U48" s="87">
        <f t="shared" si="16"/>
        <v>180010.31</v>
      </c>
      <c r="V48" s="88">
        <f t="shared" si="17"/>
        <v>1</v>
      </c>
      <c r="W48" s="3"/>
      <c r="X48" s="3"/>
      <c r="Y48" s="3"/>
      <c r="Z48" s="3"/>
      <c r="AA48" s="3"/>
      <c r="AB48" s="2"/>
      <c r="AC48" s="2"/>
    </row>
    <row r="49" spans="1:29" s="7" customFormat="1" ht="15">
      <c r="A49" s="20" t="s">
        <v>32</v>
      </c>
      <c r="B49" s="8" t="s">
        <v>266</v>
      </c>
      <c r="C49" s="66">
        <f>+C50+C51+C52</f>
        <v>119369901</v>
      </c>
      <c r="D49" s="66">
        <f>+D50+D51+D52</f>
        <v>0</v>
      </c>
      <c r="E49" s="66">
        <f aca="true" t="shared" si="23" ref="E49:P49">+E50+E51</f>
        <v>1092758.14</v>
      </c>
      <c r="F49" s="66">
        <f t="shared" si="23"/>
        <v>1373159.94</v>
      </c>
      <c r="G49" s="66">
        <f>+G50+G51+G52</f>
        <v>107131931</v>
      </c>
      <c r="H49" s="66">
        <f>+H50+H51+H52</f>
        <v>1070318.87</v>
      </c>
      <c r="I49" s="66">
        <f>+I50+I51+I52</f>
        <v>964110.94</v>
      </c>
      <c r="J49" s="66">
        <f>+J50+J51+J52</f>
        <v>1271034.57</v>
      </c>
      <c r="K49" s="66">
        <f t="shared" si="23"/>
        <v>1074383.17</v>
      </c>
      <c r="L49" s="66">
        <f t="shared" si="23"/>
        <v>0</v>
      </c>
      <c r="M49" s="66">
        <f>+M50+M51+M52</f>
        <v>0</v>
      </c>
      <c r="N49" s="66">
        <f t="shared" si="23"/>
        <v>0</v>
      </c>
      <c r="O49" s="66">
        <f t="shared" si="23"/>
        <v>0</v>
      </c>
      <c r="P49" s="66">
        <f t="shared" si="23"/>
        <v>0</v>
      </c>
      <c r="Q49" s="70">
        <f>SUM(E49:P49)</f>
        <v>113977696.63</v>
      </c>
      <c r="R49" s="71">
        <f t="shared" si="20"/>
        <v>0.9548277721198747</v>
      </c>
      <c r="S49" s="70">
        <f t="shared" si="14"/>
        <v>5392204.370000005</v>
      </c>
      <c r="T49" s="71">
        <f t="shared" si="15"/>
        <v>0.045172227880125364</v>
      </c>
      <c r="U49" s="70">
        <f>+U50+U51+U52</f>
        <v>5392204.369999999</v>
      </c>
      <c r="V49" s="68">
        <f t="shared" si="17"/>
        <v>0.04517222788012532</v>
      </c>
      <c r="W49" s="3"/>
      <c r="X49" s="3"/>
      <c r="Y49" s="3"/>
      <c r="Z49" s="3"/>
      <c r="AA49" s="3"/>
      <c r="AB49" s="2"/>
      <c r="AC49" s="2"/>
    </row>
    <row r="50" spans="1:29" s="7" customFormat="1" ht="15">
      <c r="A50" s="95" t="s">
        <v>88</v>
      </c>
      <c r="B50" s="22" t="s">
        <v>33</v>
      </c>
      <c r="C50" s="38">
        <f>1075000*12</f>
        <v>12900000</v>
      </c>
      <c r="D50" s="39"/>
      <c r="E50" s="39">
        <v>1092758.14</v>
      </c>
      <c r="F50" s="38">
        <v>1373159.94</v>
      </c>
      <c r="G50" s="38">
        <v>1060030</v>
      </c>
      <c r="H50" s="38">
        <v>1070318.87</v>
      </c>
      <c r="I50" s="38">
        <v>964110.94</v>
      </c>
      <c r="J50" s="38">
        <v>1271034.57</v>
      </c>
      <c r="K50" s="38">
        <v>1074383.17</v>
      </c>
      <c r="L50" s="38"/>
      <c r="M50" s="38"/>
      <c r="N50" s="38"/>
      <c r="O50" s="38"/>
      <c r="P50" s="38"/>
      <c r="Q50" s="87">
        <f t="shared" si="12"/>
        <v>7905795.630000001</v>
      </c>
      <c r="R50" s="88">
        <f t="shared" si="20"/>
        <v>0.6128523744186047</v>
      </c>
      <c r="S50" s="87">
        <f t="shared" si="14"/>
        <v>4994204.369999999</v>
      </c>
      <c r="T50" s="88">
        <f t="shared" si="15"/>
        <v>0.38714762558139526</v>
      </c>
      <c r="U50" s="87">
        <f t="shared" si="16"/>
        <v>4994204.369999999</v>
      </c>
      <c r="V50" s="88">
        <f t="shared" si="17"/>
        <v>0.38714762558139526</v>
      </c>
      <c r="W50" s="3"/>
      <c r="X50" s="3"/>
      <c r="Y50" s="3"/>
      <c r="Z50" s="3"/>
      <c r="AA50" s="3"/>
      <c r="AB50" s="2"/>
      <c r="AC50" s="2"/>
    </row>
    <row r="51" spans="1:29" s="7" customFormat="1" ht="15">
      <c r="A51" s="95" t="s">
        <v>89</v>
      </c>
      <c r="B51" s="22" t="s">
        <v>182</v>
      </c>
      <c r="C51" s="38">
        <f>50000*12-202000</f>
        <v>398000</v>
      </c>
      <c r="D51" s="39"/>
      <c r="E51" s="39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/>
      <c r="M51" s="38"/>
      <c r="N51" s="38"/>
      <c r="O51" s="38"/>
      <c r="P51" s="38"/>
      <c r="Q51" s="87">
        <f t="shared" si="12"/>
        <v>0</v>
      </c>
      <c r="R51" s="88">
        <f t="shared" si="20"/>
        <v>0</v>
      </c>
      <c r="S51" s="87">
        <f t="shared" si="14"/>
        <v>398000</v>
      </c>
      <c r="T51" s="88">
        <f t="shared" si="15"/>
        <v>1</v>
      </c>
      <c r="U51" s="87">
        <f t="shared" si="16"/>
        <v>398000</v>
      </c>
      <c r="V51" s="88">
        <f t="shared" si="17"/>
        <v>1</v>
      </c>
      <c r="W51" s="3"/>
      <c r="X51" s="3"/>
      <c r="Y51" s="3"/>
      <c r="Z51" s="3"/>
      <c r="AA51" s="3"/>
      <c r="AB51" s="2"/>
      <c r="AC51" s="2"/>
    </row>
    <row r="52" spans="1:29" s="7" customFormat="1" ht="15">
      <c r="A52" s="95" t="s">
        <v>177</v>
      </c>
      <c r="B52" s="22" t="s">
        <v>239</v>
      </c>
      <c r="C52" s="119">
        <v>106071901</v>
      </c>
      <c r="D52" s="39"/>
      <c r="E52" s="39">
        <v>0</v>
      </c>
      <c r="F52" s="38">
        <v>0</v>
      </c>
      <c r="G52" s="38">
        <v>106071901</v>
      </c>
      <c r="H52" s="38">
        <v>0</v>
      </c>
      <c r="I52" s="38">
        <v>0</v>
      </c>
      <c r="J52" s="38">
        <v>0</v>
      </c>
      <c r="K52" s="38">
        <v>0</v>
      </c>
      <c r="L52" s="38"/>
      <c r="M52" s="38"/>
      <c r="N52" s="38"/>
      <c r="O52" s="38"/>
      <c r="P52" s="38"/>
      <c r="Q52" s="87">
        <f t="shared" si="12"/>
        <v>106071901</v>
      </c>
      <c r="R52" s="88">
        <f>+Q52/(C52+D52)</f>
        <v>1</v>
      </c>
      <c r="S52" s="87">
        <f t="shared" si="14"/>
        <v>0</v>
      </c>
      <c r="T52" s="88">
        <f t="shared" si="15"/>
        <v>0</v>
      </c>
      <c r="U52" s="87">
        <f t="shared" si="16"/>
        <v>0</v>
      </c>
      <c r="V52" s="88">
        <f>+U52/(C52+D52)</f>
        <v>0</v>
      </c>
      <c r="W52" s="3"/>
      <c r="X52" s="3"/>
      <c r="Y52" s="3"/>
      <c r="Z52" s="3"/>
      <c r="AA52" s="3"/>
      <c r="AB52" s="2"/>
      <c r="AC52" s="2"/>
    </row>
    <row r="53" spans="1:29" s="7" customFormat="1" ht="15">
      <c r="A53" s="20" t="s">
        <v>34</v>
      </c>
      <c r="B53" s="8" t="s">
        <v>267</v>
      </c>
      <c r="C53" s="66">
        <f>+C54</f>
        <v>690000</v>
      </c>
      <c r="D53" s="66">
        <f>+D54</f>
        <v>0</v>
      </c>
      <c r="E53" s="66">
        <f aca="true" t="shared" si="24" ref="E53:P53">+E54</f>
        <v>375886.23</v>
      </c>
      <c r="F53" s="66">
        <f t="shared" si="24"/>
        <v>114443.18</v>
      </c>
      <c r="G53" s="66">
        <f t="shared" si="24"/>
        <v>42705.43</v>
      </c>
      <c r="H53" s="66">
        <f>+H54</f>
        <v>18862.26</v>
      </c>
      <c r="I53" s="66">
        <f t="shared" si="24"/>
        <v>42481.15</v>
      </c>
      <c r="J53" s="66">
        <f t="shared" si="24"/>
        <v>7291.69</v>
      </c>
      <c r="K53" s="66">
        <f t="shared" si="24"/>
        <v>42075.79</v>
      </c>
      <c r="L53" s="66">
        <f t="shared" si="24"/>
        <v>0</v>
      </c>
      <c r="M53" s="66">
        <f t="shared" si="24"/>
        <v>0</v>
      </c>
      <c r="N53" s="66">
        <f t="shared" si="24"/>
        <v>0</v>
      </c>
      <c r="O53" s="66">
        <f t="shared" si="24"/>
        <v>0</v>
      </c>
      <c r="P53" s="66">
        <f t="shared" si="24"/>
        <v>0</v>
      </c>
      <c r="Q53" s="70">
        <f>SUM(E53:P53)</f>
        <v>643745.73</v>
      </c>
      <c r="R53" s="71">
        <f aca="true" t="shared" si="25" ref="R53:R66">+Q53/C53</f>
        <v>0.9329648260869565</v>
      </c>
      <c r="S53" s="70">
        <f t="shared" si="14"/>
        <v>46254.27000000002</v>
      </c>
      <c r="T53" s="71">
        <f t="shared" si="15"/>
        <v>0.0670351739130435</v>
      </c>
      <c r="U53" s="70">
        <f>+U54</f>
        <v>46254.27000000002</v>
      </c>
      <c r="V53" s="68">
        <f aca="true" t="shared" si="26" ref="V53:V66">+U53/C53</f>
        <v>0.0670351739130435</v>
      </c>
      <c r="W53" s="3"/>
      <c r="X53" s="3"/>
      <c r="Y53" s="3"/>
      <c r="Z53" s="3"/>
      <c r="AA53" s="3"/>
      <c r="AB53" s="2"/>
      <c r="AC53" s="2"/>
    </row>
    <row r="54" spans="1:29" s="7" customFormat="1" ht="15">
      <c r="A54" s="95" t="s">
        <v>90</v>
      </c>
      <c r="B54" s="22" t="s">
        <v>35</v>
      </c>
      <c r="C54" s="38">
        <f>600000*12-1000000-798000-4962000+200000+50000</f>
        <v>690000</v>
      </c>
      <c r="D54" s="41"/>
      <c r="E54" s="41">
        <v>375886.23</v>
      </c>
      <c r="F54" s="42">
        <v>114443.18</v>
      </c>
      <c r="G54" s="42">
        <v>42705.43</v>
      </c>
      <c r="H54" s="42">
        <v>18862.26</v>
      </c>
      <c r="I54" s="42">
        <v>42481.15</v>
      </c>
      <c r="J54" s="42">
        <v>7291.69</v>
      </c>
      <c r="K54" s="42">
        <v>42075.79</v>
      </c>
      <c r="L54" s="42"/>
      <c r="M54" s="42"/>
      <c r="N54" s="42"/>
      <c r="O54" s="42"/>
      <c r="P54" s="42"/>
      <c r="Q54" s="87">
        <f t="shared" si="12"/>
        <v>643745.73</v>
      </c>
      <c r="R54" s="88">
        <f>+Q54/C54</f>
        <v>0.9329648260869565</v>
      </c>
      <c r="S54" s="87">
        <f t="shared" si="14"/>
        <v>46254.27000000002</v>
      </c>
      <c r="T54" s="88">
        <f t="shared" si="15"/>
        <v>0.0670351739130435</v>
      </c>
      <c r="U54" s="87">
        <f t="shared" si="16"/>
        <v>46254.27000000002</v>
      </c>
      <c r="V54" s="88">
        <f t="shared" si="26"/>
        <v>0.0670351739130435</v>
      </c>
      <c r="W54" s="3"/>
      <c r="X54" s="3"/>
      <c r="Y54" s="3"/>
      <c r="Z54" s="3"/>
      <c r="AA54" s="3"/>
      <c r="AB54" s="2"/>
      <c r="AC54" s="2"/>
    </row>
    <row r="55" spans="1:29" s="7" customFormat="1" ht="45">
      <c r="A55" s="85" t="s">
        <v>36</v>
      </c>
      <c r="B55" s="36" t="s">
        <v>268</v>
      </c>
      <c r="C55" s="66">
        <f>+C56+C57+C58+C59+C60+C61</f>
        <v>5036548</v>
      </c>
      <c r="D55" s="66">
        <f>+D56+D57+D59+D60+D61</f>
        <v>0</v>
      </c>
      <c r="E55" s="66">
        <f>+E61</f>
        <v>3898</v>
      </c>
      <c r="F55" s="66">
        <f>+F56+F57+F58+F59+F60+F61</f>
        <v>739982.63</v>
      </c>
      <c r="G55" s="66">
        <f>+G61</f>
        <v>21638</v>
      </c>
      <c r="H55" s="66">
        <f>+H56+H57+H58+H59+H60+H61</f>
        <v>632402.2</v>
      </c>
      <c r="I55" s="66">
        <f>+I61</f>
        <v>179360</v>
      </c>
      <c r="J55" s="66">
        <f>+J56+J57+J58+J59+J60+J61</f>
        <v>141867</v>
      </c>
      <c r="K55" s="66">
        <f>+K56+K57+K58+K59+K60+K61+K62</f>
        <v>6166.6</v>
      </c>
      <c r="L55" s="66">
        <f>+L61</f>
        <v>0</v>
      </c>
      <c r="M55" s="66">
        <f>+M56+M57+M59+M60+M61</f>
        <v>0</v>
      </c>
      <c r="N55" s="66">
        <f>+N56+N57+N59+N60+N61</f>
        <v>0</v>
      </c>
      <c r="O55" s="66">
        <f>+O56+O57+O59+O60+O61</f>
        <v>0</v>
      </c>
      <c r="P55" s="66">
        <f>+P56+P57+P59+P60+P61</f>
        <v>0</v>
      </c>
      <c r="Q55" s="70">
        <f>SUM(E55:P55)</f>
        <v>1725314.4300000002</v>
      </c>
      <c r="R55" s="71">
        <f t="shared" si="25"/>
        <v>0.34255891733782745</v>
      </c>
      <c r="S55" s="70">
        <f t="shared" si="14"/>
        <v>3311233.57</v>
      </c>
      <c r="T55" s="71">
        <f t="shared" si="15"/>
        <v>0.6574410826621726</v>
      </c>
      <c r="U55" s="70">
        <f>+U56+U57+U58+U59+U60+U61</f>
        <v>3312732.17</v>
      </c>
      <c r="V55" s="68">
        <f t="shared" si="26"/>
        <v>0.6577386277267684</v>
      </c>
      <c r="W55" s="3"/>
      <c r="X55" s="3"/>
      <c r="Y55" s="3"/>
      <c r="Z55" s="3"/>
      <c r="AA55" s="3"/>
      <c r="AB55" s="2"/>
      <c r="AC55" s="2"/>
    </row>
    <row r="56" spans="1:29" s="7" customFormat="1" ht="30">
      <c r="A56" s="112" t="s">
        <v>294</v>
      </c>
      <c r="B56" s="28" t="s">
        <v>293</v>
      </c>
      <c r="C56" s="38">
        <f>574379*12-880000-1976000</f>
        <v>4036548</v>
      </c>
      <c r="D56" s="39"/>
      <c r="E56" s="39">
        <v>0</v>
      </c>
      <c r="F56" s="39">
        <v>0</v>
      </c>
      <c r="G56" s="39">
        <v>0</v>
      </c>
      <c r="H56" s="39">
        <v>612000</v>
      </c>
      <c r="I56" s="39">
        <v>0</v>
      </c>
      <c r="J56" s="39">
        <v>141867</v>
      </c>
      <c r="K56" s="39">
        <v>0</v>
      </c>
      <c r="L56" s="39"/>
      <c r="M56" s="39"/>
      <c r="N56" s="39"/>
      <c r="O56" s="39"/>
      <c r="P56" s="39"/>
      <c r="Q56" s="87">
        <f t="shared" si="12"/>
        <v>753867</v>
      </c>
      <c r="R56" s="88">
        <f>+Q56/C56</f>
        <v>0.18676032094750267</v>
      </c>
      <c r="S56" s="87">
        <f>+C56-Q56</f>
        <v>3282681</v>
      </c>
      <c r="T56" s="88">
        <f>+S56/C56</f>
        <v>0.8132396790524973</v>
      </c>
      <c r="U56" s="87">
        <f t="shared" si="16"/>
        <v>3282681</v>
      </c>
      <c r="V56" s="88">
        <f>+U56/C56</f>
        <v>0.8132396790524973</v>
      </c>
      <c r="W56" s="3"/>
      <c r="X56" s="3"/>
      <c r="Y56" s="3"/>
      <c r="Z56" s="3"/>
      <c r="AA56" s="3"/>
      <c r="AB56" s="2"/>
      <c r="AC56" s="2"/>
    </row>
    <row r="57" spans="1:29" s="7" customFormat="1" ht="30">
      <c r="A57" s="109" t="s">
        <v>287</v>
      </c>
      <c r="B57" s="28" t="s">
        <v>286</v>
      </c>
      <c r="C57" s="38">
        <v>0</v>
      </c>
      <c r="D57" s="39"/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/>
      <c r="M57" s="39"/>
      <c r="N57" s="39"/>
      <c r="O57" s="39"/>
      <c r="P57" s="39"/>
      <c r="Q57" s="87">
        <f t="shared" si="12"/>
        <v>0</v>
      </c>
      <c r="R57" s="88" t="e">
        <f>+Q57/C57</f>
        <v>#DIV/0!</v>
      </c>
      <c r="S57" s="87">
        <f>+C57-Q57</f>
        <v>0</v>
      </c>
      <c r="T57" s="88" t="e">
        <f>+S57/C57</f>
        <v>#DIV/0!</v>
      </c>
      <c r="U57" s="87">
        <f t="shared" si="16"/>
        <v>0</v>
      </c>
      <c r="V57" s="88" t="e">
        <f>+U57/C57</f>
        <v>#DIV/0!</v>
      </c>
      <c r="W57" s="3"/>
      <c r="X57" s="3"/>
      <c r="Y57" s="3"/>
      <c r="Z57" s="3"/>
      <c r="AA57" s="3"/>
      <c r="AB57" s="2"/>
      <c r="AC57" s="2"/>
    </row>
    <row r="58" spans="1:29" s="7" customFormat="1" ht="30">
      <c r="A58" s="123" t="s">
        <v>317</v>
      </c>
      <c r="B58" s="28" t="s">
        <v>318</v>
      </c>
      <c r="C58" s="38">
        <v>750000</v>
      </c>
      <c r="D58" s="39"/>
      <c r="E58" s="39">
        <v>0</v>
      </c>
      <c r="F58" s="39">
        <v>737946.63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/>
      <c r="M58" s="39"/>
      <c r="N58" s="39"/>
      <c r="O58" s="39"/>
      <c r="P58" s="39"/>
      <c r="Q58" s="87">
        <f>SUM(E58:P58)</f>
        <v>737946.63</v>
      </c>
      <c r="R58" s="88">
        <f>+Q58/C58</f>
        <v>0.98392884</v>
      </c>
      <c r="S58" s="87">
        <f>+C58-Q58</f>
        <v>12053.369999999995</v>
      </c>
      <c r="T58" s="88">
        <f>+S58/C58</f>
        <v>0.016071159999999994</v>
      </c>
      <c r="U58" s="87">
        <f>+C58+D58-Q58</f>
        <v>12053.369999999995</v>
      </c>
      <c r="V58" s="88">
        <f>+U58/C58</f>
        <v>0.016071159999999994</v>
      </c>
      <c r="W58" s="3"/>
      <c r="X58" s="3"/>
      <c r="Y58" s="3"/>
      <c r="Z58" s="3"/>
      <c r="AA58" s="3"/>
      <c r="AB58" s="2"/>
      <c r="AC58" s="2"/>
    </row>
    <row r="59" spans="1:29" s="7" customFormat="1" ht="30">
      <c r="A59" s="96" t="s">
        <v>240</v>
      </c>
      <c r="B59" s="28" t="s">
        <v>241</v>
      </c>
      <c r="C59" s="38">
        <v>0</v>
      </c>
      <c r="D59" s="39"/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/>
      <c r="M59" s="39"/>
      <c r="N59" s="39"/>
      <c r="O59" s="39"/>
      <c r="P59" s="39"/>
      <c r="Q59" s="87">
        <f t="shared" si="12"/>
        <v>0</v>
      </c>
      <c r="R59" s="88" t="e">
        <f t="shared" si="25"/>
        <v>#DIV/0!</v>
      </c>
      <c r="S59" s="87">
        <f t="shared" si="14"/>
        <v>0</v>
      </c>
      <c r="T59" s="88" t="e">
        <f t="shared" si="15"/>
        <v>#DIV/0!</v>
      </c>
      <c r="U59" s="87">
        <f t="shared" si="16"/>
        <v>0</v>
      </c>
      <c r="V59" s="88" t="e">
        <f t="shared" si="26"/>
        <v>#DIV/0!</v>
      </c>
      <c r="W59" s="3"/>
      <c r="X59" s="3"/>
      <c r="Y59" s="3"/>
      <c r="Z59" s="3"/>
      <c r="AA59" s="3"/>
      <c r="AB59" s="2"/>
      <c r="AC59" s="2"/>
    </row>
    <row r="60" spans="1:29" s="7" customFormat="1" ht="30">
      <c r="A60" s="96" t="s">
        <v>203</v>
      </c>
      <c r="B60" s="28" t="s">
        <v>204</v>
      </c>
      <c r="C60" s="38">
        <v>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/>
      <c r="M60" s="39"/>
      <c r="N60" s="39"/>
      <c r="O60" s="39"/>
      <c r="P60" s="39"/>
      <c r="Q60" s="87">
        <f t="shared" si="12"/>
        <v>0</v>
      </c>
      <c r="R60" s="88" t="e">
        <f t="shared" si="25"/>
        <v>#DIV/0!</v>
      </c>
      <c r="S60" s="87">
        <f t="shared" si="14"/>
        <v>0</v>
      </c>
      <c r="T60" s="88" t="e">
        <f t="shared" si="15"/>
        <v>#DIV/0!</v>
      </c>
      <c r="U60" s="87">
        <f t="shared" si="16"/>
        <v>0</v>
      </c>
      <c r="V60" s="88" t="e">
        <f t="shared" si="26"/>
        <v>#DIV/0!</v>
      </c>
      <c r="W60" s="3"/>
      <c r="X60" s="3"/>
      <c r="Y60" s="3"/>
      <c r="Z60" s="3"/>
      <c r="AA60" s="3"/>
      <c r="AB60" s="2"/>
      <c r="AC60" s="2"/>
    </row>
    <row r="61" spans="1:29" s="7" customFormat="1" ht="30">
      <c r="A61" s="96" t="s">
        <v>91</v>
      </c>
      <c r="B61" s="28" t="s">
        <v>191</v>
      </c>
      <c r="C61" s="38">
        <f>50000+200000</f>
        <v>250000</v>
      </c>
      <c r="D61" s="39"/>
      <c r="E61" s="39">
        <v>3898</v>
      </c>
      <c r="F61" s="39">
        <v>2036</v>
      </c>
      <c r="G61" s="39">
        <v>21638</v>
      </c>
      <c r="H61" s="39">
        <v>20402.2</v>
      </c>
      <c r="I61" s="39">
        <v>179360</v>
      </c>
      <c r="J61" s="39">
        <v>0</v>
      </c>
      <c r="K61" s="39">
        <v>4668</v>
      </c>
      <c r="L61" s="39"/>
      <c r="M61" s="39"/>
      <c r="N61" s="39"/>
      <c r="O61" s="39"/>
      <c r="P61" s="39"/>
      <c r="Q61" s="87">
        <f>SUM(E61:P61)</f>
        <v>232002.2</v>
      </c>
      <c r="R61" s="88">
        <f>+Q61/C61</f>
        <v>0.9280088000000001</v>
      </c>
      <c r="S61" s="87">
        <f>+C61-Q61</f>
        <v>17997.79999999999</v>
      </c>
      <c r="T61" s="88">
        <f>+S61/C61</f>
        <v>0.07199119999999995</v>
      </c>
      <c r="U61" s="87">
        <f>+C61+D61-Q61</f>
        <v>17997.79999999999</v>
      </c>
      <c r="V61" s="88">
        <f>+U61/C61</f>
        <v>0.07199119999999995</v>
      </c>
      <c r="W61" s="3"/>
      <c r="X61" s="3"/>
      <c r="Y61" s="3"/>
      <c r="Z61" s="3"/>
      <c r="AA61" s="3"/>
      <c r="AB61" s="2"/>
      <c r="AC61" s="2"/>
    </row>
    <row r="62" spans="1:29" s="11" customFormat="1" ht="45">
      <c r="A62" s="127" t="s">
        <v>335</v>
      </c>
      <c r="B62" s="28" t="s">
        <v>336</v>
      </c>
      <c r="C62" s="38">
        <v>5000</v>
      </c>
      <c r="D62" s="39"/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1498.6</v>
      </c>
      <c r="L62" s="39"/>
      <c r="M62" s="39"/>
      <c r="N62" s="39"/>
      <c r="O62" s="39"/>
      <c r="P62" s="39"/>
      <c r="Q62" s="87">
        <f>SUM(E62:P62)</f>
        <v>1498.6</v>
      </c>
      <c r="R62" s="88">
        <f>+Q62/C62</f>
        <v>0.29972</v>
      </c>
      <c r="S62" s="87">
        <f>+C62-Q62</f>
        <v>3501.4</v>
      </c>
      <c r="T62" s="88">
        <f>+S62/C62</f>
        <v>0.70028</v>
      </c>
      <c r="U62" s="87">
        <f>+C62+D62-Q62</f>
        <v>3501.4</v>
      </c>
      <c r="V62" s="88">
        <f>+U62/C62</f>
        <v>0.70028</v>
      </c>
      <c r="W62" s="10"/>
      <c r="X62" s="10"/>
      <c r="Y62" s="10"/>
      <c r="Z62" s="10"/>
      <c r="AA62" s="10"/>
      <c r="AB62" s="1"/>
      <c r="AC62" s="1"/>
    </row>
    <row r="63" spans="1:29" s="7" customFormat="1" ht="17.25" customHeight="1" hidden="1">
      <c r="A63" s="96"/>
      <c r="B63" s="24"/>
      <c r="C63" s="39"/>
      <c r="D63" s="39"/>
      <c r="E63" s="39"/>
      <c r="F63" s="39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44">
        <f>SUM(E63:N63)</f>
        <v>0</v>
      </c>
      <c r="R63" s="45" t="e">
        <f t="shared" si="25"/>
        <v>#DIV/0!</v>
      </c>
      <c r="S63" s="46">
        <f t="shared" si="14"/>
        <v>0</v>
      </c>
      <c r="T63" s="47" t="e">
        <f t="shared" si="15"/>
        <v>#DIV/0!</v>
      </c>
      <c r="U63" s="44">
        <f>+C63-Q63</f>
        <v>0</v>
      </c>
      <c r="V63" s="45" t="e">
        <f t="shared" si="26"/>
        <v>#DIV/0!</v>
      </c>
      <c r="W63" s="3"/>
      <c r="X63" s="3"/>
      <c r="Y63" s="3"/>
      <c r="Z63" s="3"/>
      <c r="AA63" s="3"/>
      <c r="AB63" s="2"/>
      <c r="AC63" s="2"/>
    </row>
    <row r="64" spans="1:27" s="2" customFormat="1" ht="30">
      <c r="A64" s="85" t="s">
        <v>37</v>
      </c>
      <c r="B64" s="36" t="s">
        <v>192</v>
      </c>
      <c r="C64" s="66">
        <f>+C65+C66+C67+C68+C69+C70+C71+C72+C73</f>
        <v>7572000</v>
      </c>
      <c r="D64" s="66">
        <f>+D65+D66+D67+D68+D69+D70+D71+D72+D73</f>
        <v>0</v>
      </c>
      <c r="E64" s="66">
        <f>+E65+E66+E67+E68+E69+E70+E71+E72+E73</f>
        <v>736250.8300000001</v>
      </c>
      <c r="F64" s="66">
        <f>+F65+F66+F67+F68+F69+F70+F71+F72+F73</f>
        <v>2045810.9300000002</v>
      </c>
      <c r="G64" s="66">
        <f>+G65+G69+G70+G71+G72</f>
        <v>6274369.7700000005</v>
      </c>
      <c r="H64" s="66">
        <f>+H65+H66+H67+H68+H69+H70+H71+H72+H73</f>
        <v>974743.41</v>
      </c>
      <c r="I64" s="66">
        <f>+I65+I66+I67+I68+I69+I70+I71+I72+I73</f>
        <v>1549445.3900000001</v>
      </c>
      <c r="J64" s="66">
        <f>+J65+J66+J69+J70+J71+J72+J73</f>
        <v>781171.87</v>
      </c>
      <c r="K64" s="66">
        <f>+K65+K66+K67+K69+K70+K71+K72+K73</f>
        <v>935982.98</v>
      </c>
      <c r="L64" s="66">
        <f>+L65+L66+L67+L69+L70+L71+L72+L73</f>
        <v>0</v>
      </c>
      <c r="M64" s="66">
        <f>+M65+M66+M67+M69+M70+M71+M72+M73</f>
        <v>0</v>
      </c>
      <c r="N64" s="66">
        <f>+N65+N66+N67+N69+N70+N71+N72+N73</f>
        <v>0</v>
      </c>
      <c r="O64" s="66">
        <f>+O65+O66+O67+O68+O69+O70+O71+O72+O73</f>
        <v>0</v>
      </c>
      <c r="P64" s="66">
        <f>+P65+P66+P67+P68+P69+P70+P71+P72+P73</f>
        <v>0</v>
      </c>
      <c r="Q64" s="70">
        <f>SUM(E64:P64)</f>
        <v>13297775.180000002</v>
      </c>
      <c r="R64" s="71">
        <f t="shared" si="25"/>
        <v>1.7561773877443214</v>
      </c>
      <c r="S64" s="70">
        <f t="shared" si="14"/>
        <v>-5725775.180000002</v>
      </c>
      <c r="T64" s="71">
        <f t="shared" si="15"/>
        <v>-0.7561773877443214</v>
      </c>
      <c r="U64" s="70">
        <f>+U65+U66+U67+U68+U69+U70+U71+U72+U73</f>
        <v>-5725775.180000001</v>
      </c>
      <c r="V64" s="68">
        <f t="shared" si="26"/>
        <v>-0.7561773877443213</v>
      </c>
      <c r="W64" s="3"/>
      <c r="X64" s="3"/>
      <c r="Y64" s="3"/>
      <c r="Z64" s="3"/>
      <c r="AA64" s="3"/>
    </row>
    <row r="65" spans="1:27" s="2" customFormat="1" ht="17.25" customHeight="1">
      <c r="A65" s="96" t="s">
        <v>92</v>
      </c>
      <c r="B65" s="37" t="s">
        <v>193</v>
      </c>
      <c r="C65" s="38">
        <f>1000000+2000000</f>
        <v>3000000</v>
      </c>
      <c r="D65" s="39"/>
      <c r="E65" s="39">
        <v>166297.3</v>
      </c>
      <c r="F65" s="39">
        <v>195816.89</v>
      </c>
      <c r="G65" s="39">
        <v>348442.58</v>
      </c>
      <c r="H65" s="39">
        <v>164999.04</v>
      </c>
      <c r="I65" s="39">
        <f>178694.01+398634.19+93298.79+19266.5</f>
        <v>689893.49</v>
      </c>
      <c r="J65" s="39">
        <v>174863.15</v>
      </c>
      <c r="K65" s="39">
        <v>194645.15</v>
      </c>
      <c r="L65" s="39"/>
      <c r="M65" s="39"/>
      <c r="N65" s="39"/>
      <c r="O65" s="39"/>
      <c r="P65" s="39"/>
      <c r="Q65" s="87">
        <f aca="true" t="shared" si="27" ref="Q65:Q73">SUM(E65:P65)</f>
        <v>1934957.5999999999</v>
      </c>
      <c r="R65" s="88">
        <f t="shared" si="25"/>
        <v>0.6449858666666666</v>
      </c>
      <c r="S65" s="87">
        <f t="shared" si="14"/>
        <v>1065042.4000000001</v>
      </c>
      <c r="T65" s="88">
        <f t="shared" si="15"/>
        <v>0.35501413333333337</v>
      </c>
      <c r="U65" s="87">
        <f aca="true" t="shared" si="28" ref="U65:U73">+C65+D65-Q65</f>
        <v>1065042.4000000001</v>
      </c>
      <c r="V65" s="88">
        <f t="shared" si="26"/>
        <v>0.35501413333333337</v>
      </c>
      <c r="W65" s="3"/>
      <c r="X65" s="3"/>
      <c r="Y65" s="3"/>
      <c r="Z65" s="3"/>
      <c r="AA65" s="3"/>
    </row>
    <row r="66" spans="1:27" s="2" customFormat="1" ht="17.25" customHeight="1">
      <c r="A66" s="96" t="s">
        <v>242</v>
      </c>
      <c r="B66" s="37" t="s">
        <v>243</v>
      </c>
      <c r="C66" s="38">
        <v>200000</v>
      </c>
      <c r="D66" s="39"/>
      <c r="E66" s="39">
        <v>0</v>
      </c>
      <c r="F66" s="39">
        <v>0</v>
      </c>
      <c r="G66" s="39">
        <v>0</v>
      </c>
      <c r="H66" s="39">
        <v>197828</v>
      </c>
      <c r="I66" s="39">
        <v>0</v>
      </c>
      <c r="J66" s="39">
        <v>0</v>
      </c>
      <c r="K66" s="39">
        <v>0</v>
      </c>
      <c r="L66" s="39"/>
      <c r="M66" s="39"/>
      <c r="N66" s="39"/>
      <c r="O66" s="39"/>
      <c r="P66" s="39"/>
      <c r="Q66" s="87">
        <f t="shared" si="27"/>
        <v>197828</v>
      </c>
      <c r="R66" s="88">
        <f t="shared" si="25"/>
        <v>0.98914</v>
      </c>
      <c r="S66" s="87">
        <f t="shared" si="14"/>
        <v>2172</v>
      </c>
      <c r="T66" s="88">
        <f t="shared" si="15"/>
        <v>0.01086</v>
      </c>
      <c r="U66" s="87">
        <f t="shared" si="28"/>
        <v>2172</v>
      </c>
      <c r="V66" s="88">
        <f t="shared" si="26"/>
        <v>0.01086</v>
      </c>
      <c r="W66" s="3"/>
      <c r="X66" s="3"/>
      <c r="Y66" s="3"/>
      <c r="Z66" s="3"/>
      <c r="AA66" s="3"/>
    </row>
    <row r="67" spans="1:27" s="2" customFormat="1" ht="17.25" customHeight="1">
      <c r="A67" s="109" t="s">
        <v>289</v>
      </c>
      <c r="B67" s="37" t="s">
        <v>288</v>
      </c>
      <c r="C67" s="38">
        <v>2000000</v>
      </c>
      <c r="D67" s="39"/>
      <c r="E67" s="39">
        <v>0</v>
      </c>
      <c r="F67" s="39">
        <v>1077340</v>
      </c>
      <c r="G67" s="39">
        <v>0</v>
      </c>
      <c r="H67" s="39">
        <v>12154</v>
      </c>
      <c r="I67" s="39">
        <v>769655</v>
      </c>
      <c r="J67" s="39">
        <v>0</v>
      </c>
      <c r="K67" s="39">
        <v>0</v>
      </c>
      <c r="L67" s="39"/>
      <c r="M67" s="39"/>
      <c r="N67" s="39"/>
      <c r="O67" s="39"/>
      <c r="P67" s="39"/>
      <c r="Q67" s="87">
        <f t="shared" si="27"/>
        <v>1859149</v>
      </c>
      <c r="R67" s="88">
        <f>+Q67/(C67+D67)</f>
        <v>0.9295745</v>
      </c>
      <c r="S67" s="87">
        <f>+C67-Q67</f>
        <v>140851</v>
      </c>
      <c r="T67" s="88">
        <f>+S67/C67</f>
        <v>0.0704255</v>
      </c>
      <c r="U67" s="87">
        <f t="shared" si="28"/>
        <v>140851</v>
      </c>
      <c r="V67" s="88">
        <f>+U67/(C67+D67)</f>
        <v>0.0704255</v>
      </c>
      <c r="W67" s="3"/>
      <c r="X67" s="3"/>
      <c r="Y67" s="3"/>
      <c r="Z67" s="3"/>
      <c r="AA67" s="3"/>
    </row>
    <row r="68" spans="1:27" s="2" customFormat="1" ht="17.25" customHeight="1">
      <c r="A68" s="112" t="s">
        <v>307</v>
      </c>
      <c r="B68" s="28" t="s">
        <v>308</v>
      </c>
      <c r="C68" s="38">
        <v>0</v>
      </c>
      <c r="D68" s="39"/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/>
      <c r="M68" s="39"/>
      <c r="N68" s="39"/>
      <c r="O68" s="39"/>
      <c r="P68" s="39"/>
      <c r="Q68" s="87">
        <f t="shared" si="27"/>
        <v>0</v>
      </c>
      <c r="R68" s="88" t="e">
        <f>+Q68/(C68+D68)</f>
        <v>#DIV/0!</v>
      </c>
      <c r="S68" s="87">
        <f>+C68-Q68</f>
        <v>0</v>
      </c>
      <c r="T68" s="88" t="e">
        <f>+S68/C68</f>
        <v>#DIV/0!</v>
      </c>
      <c r="U68" s="87">
        <f t="shared" si="28"/>
        <v>0</v>
      </c>
      <c r="V68" s="88" t="e">
        <f>+U68/C68</f>
        <v>#DIV/0!</v>
      </c>
      <c r="W68" s="3"/>
      <c r="X68" s="3"/>
      <c r="Y68" s="3"/>
      <c r="Z68" s="3"/>
      <c r="AA68" s="3"/>
    </row>
    <row r="69" spans="1:27" s="2" customFormat="1" ht="15">
      <c r="A69" s="96" t="s">
        <v>226</v>
      </c>
      <c r="B69" s="28" t="s">
        <v>227</v>
      </c>
      <c r="C69" s="38">
        <v>40000</v>
      </c>
      <c r="D69" s="39"/>
      <c r="E69" s="39">
        <v>0</v>
      </c>
      <c r="F69" s="39">
        <v>0</v>
      </c>
      <c r="G69" s="39">
        <v>0</v>
      </c>
      <c r="H69" s="39">
        <v>16650</v>
      </c>
      <c r="I69" s="39">
        <v>0</v>
      </c>
      <c r="J69" s="39">
        <v>0</v>
      </c>
      <c r="K69" s="39">
        <v>0</v>
      </c>
      <c r="L69" s="39"/>
      <c r="M69" s="39"/>
      <c r="N69" s="39"/>
      <c r="O69" s="39"/>
      <c r="P69" s="39"/>
      <c r="Q69" s="87">
        <f t="shared" si="27"/>
        <v>16650</v>
      </c>
      <c r="R69" s="88">
        <f aca="true" t="shared" si="29" ref="R69:R74">+Q69/C69</f>
        <v>0.41625</v>
      </c>
      <c r="S69" s="87">
        <f aca="true" t="shared" si="30" ref="S69:S74">+C69-Q69</f>
        <v>23350</v>
      </c>
      <c r="T69" s="88">
        <f aca="true" t="shared" si="31" ref="T69:T74">+S69/C69</f>
        <v>0.58375</v>
      </c>
      <c r="U69" s="87">
        <f t="shared" si="28"/>
        <v>23350</v>
      </c>
      <c r="V69" s="88">
        <f aca="true" t="shared" si="32" ref="V69:V77">+U69/C69</f>
        <v>0.58375</v>
      </c>
      <c r="W69" s="3"/>
      <c r="X69" s="3"/>
      <c r="Y69" s="3"/>
      <c r="Z69" s="3"/>
      <c r="AA69" s="3"/>
    </row>
    <row r="70" spans="1:27" s="2" customFormat="1" ht="33.75" customHeight="1">
      <c r="A70" s="96" t="s">
        <v>205</v>
      </c>
      <c r="B70" s="28" t="s">
        <v>206</v>
      </c>
      <c r="C70" s="38">
        <f>6000*12</f>
        <v>72000</v>
      </c>
      <c r="D70" s="39"/>
      <c r="E70" s="39">
        <v>6000</v>
      </c>
      <c r="F70" s="39">
        <v>6000</v>
      </c>
      <c r="G70" s="39">
        <v>6000</v>
      </c>
      <c r="H70" s="39">
        <v>6000</v>
      </c>
      <c r="I70" s="39">
        <v>6000</v>
      </c>
      <c r="J70" s="39">
        <v>6000</v>
      </c>
      <c r="K70" s="39">
        <v>6000</v>
      </c>
      <c r="L70" s="39"/>
      <c r="M70" s="39"/>
      <c r="N70" s="39"/>
      <c r="O70" s="39"/>
      <c r="P70" s="39"/>
      <c r="Q70" s="87">
        <f t="shared" si="27"/>
        <v>42000</v>
      </c>
      <c r="R70" s="88">
        <f t="shared" si="29"/>
        <v>0.5833333333333334</v>
      </c>
      <c r="S70" s="87">
        <f t="shared" si="30"/>
        <v>30000</v>
      </c>
      <c r="T70" s="88">
        <f t="shared" si="31"/>
        <v>0.4166666666666667</v>
      </c>
      <c r="U70" s="87">
        <f t="shared" si="28"/>
        <v>30000</v>
      </c>
      <c r="V70" s="88">
        <f t="shared" si="32"/>
        <v>0.4166666666666667</v>
      </c>
      <c r="W70" s="3"/>
      <c r="X70" s="3"/>
      <c r="Y70" s="3"/>
      <c r="Z70" s="3"/>
      <c r="AA70" s="3"/>
    </row>
    <row r="71" spans="1:27" s="2" customFormat="1" ht="17.25" customHeight="1">
      <c r="A71" s="96" t="s">
        <v>93</v>
      </c>
      <c r="B71" s="24" t="s">
        <v>194</v>
      </c>
      <c r="C71" s="39">
        <f>55000*12</f>
        <v>660000</v>
      </c>
      <c r="D71" s="39"/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/>
      <c r="K71" s="39">
        <v>0</v>
      </c>
      <c r="L71" s="39"/>
      <c r="M71" s="39"/>
      <c r="N71" s="39"/>
      <c r="O71" s="39"/>
      <c r="P71" s="39"/>
      <c r="Q71" s="87">
        <f t="shared" si="27"/>
        <v>0</v>
      </c>
      <c r="R71" s="88">
        <f t="shared" si="29"/>
        <v>0</v>
      </c>
      <c r="S71" s="87">
        <f t="shared" si="30"/>
        <v>660000</v>
      </c>
      <c r="T71" s="88">
        <f t="shared" si="31"/>
        <v>1</v>
      </c>
      <c r="U71" s="87">
        <f t="shared" si="28"/>
        <v>660000</v>
      </c>
      <c r="V71" s="88">
        <f t="shared" si="32"/>
        <v>1</v>
      </c>
      <c r="W71" s="3"/>
      <c r="X71" s="3"/>
      <c r="Y71" s="3"/>
      <c r="Z71" s="3"/>
      <c r="AA71" s="3"/>
    </row>
    <row r="72" spans="1:27" s="2" customFormat="1" ht="15">
      <c r="A72" s="96" t="s">
        <v>112</v>
      </c>
      <c r="B72" s="24" t="s">
        <v>113</v>
      </c>
      <c r="C72" s="39">
        <v>1500000</v>
      </c>
      <c r="D72" s="39"/>
      <c r="E72" s="39">
        <f>436353.45+111100.08+16500</f>
        <v>563953.53</v>
      </c>
      <c r="F72" s="39">
        <f>613213.78+133640.26+19800</f>
        <v>766654.04</v>
      </c>
      <c r="G72" s="39">
        <f>49302+5750015.69+96393+24216.5</f>
        <v>5919927.19</v>
      </c>
      <c r="H72" s="39">
        <v>577112.37</v>
      </c>
      <c r="I72" s="39">
        <v>18995.87</v>
      </c>
      <c r="J72" s="39">
        <v>600308.72</v>
      </c>
      <c r="K72" s="39">
        <v>735337.83</v>
      </c>
      <c r="L72" s="39"/>
      <c r="M72" s="39"/>
      <c r="N72" s="39"/>
      <c r="O72" s="39"/>
      <c r="P72" s="39"/>
      <c r="Q72" s="87">
        <f t="shared" si="27"/>
        <v>9182289.55</v>
      </c>
      <c r="R72" s="88">
        <f t="shared" si="29"/>
        <v>6.121526366666667</v>
      </c>
      <c r="S72" s="87">
        <f t="shared" si="30"/>
        <v>-7682289.550000001</v>
      </c>
      <c r="T72" s="88">
        <f t="shared" si="31"/>
        <v>-5.121526366666667</v>
      </c>
      <c r="U72" s="87">
        <f t="shared" si="28"/>
        <v>-7682289.550000001</v>
      </c>
      <c r="V72" s="88">
        <f t="shared" si="32"/>
        <v>-5.121526366666667</v>
      </c>
      <c r="W72" s="3"/>
      <c r="X72" s="3"/>
      <c r="Y72" s="3"/>
      <c r="Z72" s="3"/>
      <c r="AA72" s="3"/>
    </row>
    <row r="73" spans="1:27" s="2" customFormat="1" ht="30">
      <c r="A73" s="103" t="s">
        <v>279</v>
      </c>
      <c r="B73" s="24" t="s">
        <v>280</v>
      </c>
      <c r="C73" s="39">
        <v>100000</v>
      </c>
      <c r="D73" s="39"/>
      <c r="E73" s="39">
        <v>0</v>
      </c>
      <c r="F73" s="39">
        <v>0</v>
      </c>
      <c r="G73" s="39">
        <v>0</v>
      </c>
      <c r="H73" s="39">
        <v>0</v>
      </c>
      <c r="I73" s="39">
        <v>64901.03</v>
      </c>
      <c r="J73" s="39">
        <v>0</v>
      </c>
      <c r="K73" s="39">
        <v>0</v>
      </c>
      <c r="L73" s="39"/>
      <c r="M73" s="39"/>
      <c r="N73" s="39"/>
      <c r="O73" s="39"/>
      <c r="P73" s="39"/>
      <c r="Q73" s="87">
        <f t="shared" si="27"/>
        <v>64901.03</v>
      </c>
      <c r="R73" s="88">
        <f t="shared" si="29"/>
        <v>0.6490103</v>
      </c>
      <c r="S73" s="87">
        <f t="shared" si="30"/>
        <v>35098.97</v>
      </c>
      <c r="T73" s="88">
        <f t="shared" si="31"/>
        <v>0.3509897</v>
      </c>
      <c r="U73" s="87">
        <f t="shared" si="28"/>
        <v>35098.97</v>
      </c>
      <c r="V73" s="88">
        <f>+U76/C73</f>
        <v>201.47734</v>
      </c>
      <c r="W73" s="3"/>
      <c r="X73" s="3"/>
      <c r="Y73" s="3"/>
      <c r="Z73" s="3"/>
      <c r="AA73" s="3"/>
    </row>
    <row r="74" spans="1:28" ht="15">
      <c r="A74" s="20" t="s">
        <v>183</v>
      </c>
      <c r="B74" s="8" t="s">
        <v>195</v>
      </c>
      <c r="C74" s="66">
        <f>+C76+C77</f>
        <v>33378349</v>
      </c>
      <c r="D74" s="66">
        <f>+D76+D77</f>
        <v>20597500</v>
      </c>
      <c r="E74" s="66">
        <f aca="true" t="shared" si="33" ref="E74:K74">+E76+E77</f>
        <v>3378349</v>
      </c>
      <c r="F74" s="66">
        <f t="shared" si="33"/>
        <v>3053736</v>
      </c>
      <c r="G74" s="66">
        <f t="shared" si="33"/>
        <v>3411798</v>
      </c>
      <c r="H74" s="66">
        <f>+H76+H77</f>
        <v>3276840</v>
      </c>
      <c r="I74" s="66">
        <f t="shared" si="33"/>
        <v>3380922</v>
      </c>
      <c r="J74" s="66">
        <f t="shared" si="33"/>
        <v>3631360</v>
      </c>
      <c r="K74" s="66">
        <f t="shared" si="33"/>
        <v>13695110</v>
      </c>
      <c r="L74" s="66">
        <f>+L76+L77</f>
        <v>0</v>
      </c>
      <c r="M74" s="66">
        <f>+M76+M77</f>
        <v>0</v>
      </c>
      <c r="N74" s="66">
        <f>+N76+N77</f>
        <v>0</v>
      </c>
      <c r="O74" s="66">
        <f>+O76+O77</f>
        <v>0</v>
      </c>
      <c r="P74" s="66">
        <f>+P76+P77</f>
        <v>0</v>
      </c>
      <c r="Q74" s="70">
        <f>SUM(E74:P75)</f>
        <v>33828115</v>
      </c>
      <c r="R74" s="71">
        <f t="shared" si="29"/>
        <v>1.0134747827101933</v>
      </c>
      <c r="S74" s="70">
        <f t="shared" si="30"/>
        <v>-449766</v>
      </c>
      <c r="T74" s="71">
        <f t="shared" si="31"/>
        <v>-0.013474782710193365</v>
      </c>
      <c r="U74" s="70">
        <f>+U76+U77</f>
        <v>20147734</v>
      </c>
      <c r="V74" s="68">
        <f t="shared" si="32"/>
        <v>0.6036168535477893</v>
      </c>
      <c r="W74" s="3"/>
      <c r="X74" s="3"/>
      <c r="Y74" s="3"/>
      <c r="Z74" s="3"/>
      <c r="AA74" s="3"/>
      <c r="AB74" s="2"/>
    </row>
    <row r="75" spans="1:28" ht="17.25" customHeight="1" hidden="1">
      <c r="A75" s="92" t="s">
        <v>38</v>
      </c>
      <c r="B75" s="9" t="s">
        <v>39</v>
      </c>
      <c r="C75" s="39">
        <v>0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52"/>
      <c r="R75" s="52"/>
      <c r="S75" s="50">
        <v>0</v>
      </c>
      <c r="T75" s="50"/>
      <c r="U75" s="52"/>
      <c r="V75" s="52"/>
      <c r="W75" s="3"/>
      <c r="X75" s="3"/>
      <c r="Y75" s="3"/>
      <c r="Z75" s="3"/>
      <c r="AA75" s="3"/>
      <c r="AB75" s="2"/>
    </row>
    <row r="76" spans="1:28" ht="17.25" customHeight="1">
      <c r="A76" s="107" t="s">
        <v>114</v>
      </c>
      <c r="B76" s="23" t="s">
        <v>148</v>
      </c>
      <c r="C76" s="38">
        <f>3378349+30000000</f>
        <v>33378349</v>
      </c>
      <c r="D76" s="39">
        <v>20597500</v>
      </c>
      <c r="E76" s="39">
        <v>3378349</v>
      </c>
      <c r="F76" s="39">
        <v>3053736</v>
      </c>
      <c r="G76" s="39">
        <v>3411798</v>
      </c>
      <c r="H76" s="39">
        <v>3276840</v>
      </c>
      <c r="I76" s="39">
        <v>3380922</v>
      </c>
      <c r="J76" s="39">
        <v>3631360</v>
      </c>
      <c r="K76" s="39">
        <v>13695110</v>
      </c>
      <c r="L76" s="39"/>
      <c r="M76" s="39"/>
      <c r="N76" s="39"/>
      <c r="O76" s="39"/>
      <c r="P76" s="39"/>
      <c r="Q76" s="87">
        <f>SUM(E76:P76)</f>
        <v>33828115</v>
      </c>
      <c r="R76" s="88">
        <f>+Q76/C76</f>
        <v>1.0134747827101933</v>
      </c>
      <c r="S76" s="87">
        <f>+C76-Q76</f>
        <v>-449766</v>
      </c>
      <c r="T76" s="88">
        <f>+S76/C76</f>
        <v>-0.013474782710193365</v>
      </c>
      <c r="U76" s="87">
        <f>+C76+D76-Q76</f>
        <v>20147734</v>
      </c>
      <c r="V76" s="88">
        <f t="shared" si="32"/>
        <v>0.6036168535477893</v>
      </c>
      <c r="W76" s="3"/>
      <c r="X76" s="3"/>
      <c r="Y76" s="3"/>
      <c r="Z76" s="3"/>
      <c r="AA76" s="3"/>
      <c r="AB76" s="2"/>
    </row>
    <row r="77" spans="1:28" s="3" customFormat="1" ht="15">
      <c r="A77" s="111" t="s">
        <v>295</v>
      </c>
      <c r="B77" s="23" t="s">
        <v>296</v>
      </c>
      <c r="C77" s="38">
        <v>0</v>
      </c>
      <c r="D77" s="39"/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/>
      <c r="M77" s="39"/>
      <c r="N77" s="39"/>
      <c r="O77" s="39"/>
      <c r="P77" s="39"/>
      <c r="Q77" s="87">
        <f>SUM(E77:P77)</f>
        <v>0</v>
      </c>
      <c r="R77" s="88" t="e">
        <f>+Q77/C77</f>
        <v>#DIV/0!</v>
      </c>
      <c r="S77" s="87">
        <f>+C77-Q77</f>
        <v>0</v>
      </c>
      <c r="T77" s="88" t="e">
        <f>+S77/C77</f>
        <v>#DIV/0!</v>
      </c>
      <c r="U77" s="87">
        <f>+C77-Q77</f>
        <v>0</v>
      </c>
      <c r="V77" s="88" t="e">
        <f t="shared" si="32"/>
        <v>#DIV/0!</v>
      </c>
      <c r="AB77" s="2"/>
    </row>
    <row r="78" spans="1:28" s="3" customFormat="1" ht="17.25" customHeight="1" hidden="1">
      <c r="A78" s="25" t="s">
        <v>40</v>
      </c>
      <c r="B78" s="27" t="s">
        <v>41</v>
      </c>
      <c r="C78" s="39">
        <v>0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2"/>
      <c r="R78" s="52"/>
      <c r="S78" s="50">
        <v>0</v>
      </c>
      <c r="T78" s="50"/>
      <c r="U78" s="52"/>
      <c r="V78" s="52"/>
      <c r="AB78" s="2"/>
    </row>
    <row r="79" spans="1:28" s="3" customFormat="1" ht="15">
      <c r="A79" s="20" t="s">
        <v>42</v>
      </c>
      <c r="B79" s="8" t="s">
        <v>269</v>
      </c>
      <c r="C79" s="66">
        <f>+C80+C87+C88+C89</f>
        <v>6675000</v>
      </c>
      <c r="D79" s="66">
        <f>+D80+D87+D89</f>
        <v>0</v>
      </c>
      <c r="E79" s="66">
        <f>+E80+E87+E88+E89</f>
        <v>1300</v>
      </c>
      <c r="F79" s="66">
        <f>+F80+F87+F89</f>
        <v>0</v>
      </c>
      <c r="G79" s="66">
        <f>+G80+G87+G89</f>
        <v>0</v>
      </c>
      <c r="H79" s="66">
        <f>+H80+H87+H89</f>
        <v>0</v>
      </c>
      <c r="I79" s="66">
        <f>+I80+I87+I89</f>
        <v>0</v>
      </c>
      <c r="J79" s="66">
        <f>SUM(J80:J80)</f>
        <v>1381</v>
      </c>
      <c r="K79" s="66">
        <f>+K80+K87+K88+K89</f>
        <v>2205429.95</v>
      </c>
      <c r="L79" s="66">
        <f>SUM(L80:L80)</f>
        <v>0</v>
      </c>
      <c r="M79" s="66">
        <f>+M80+M87+M89</f>
        <v>0</v>
      </c>
      <c r="N79" s="66">
        <f>+N80+N87+N88+N89</f>
        <v>0</v>
      </c>
      <c r="O79" s="66">
        <f>+O80+O87+O88+O89</f>
        <v>0</v>
      </c>
      <c r="P79" s="66">
        <f>+P80+P87+P88+P89</f>
        <v>0</v>
      </c>
      <c r="Q79" s="70">
        <f>SUM(E79:P79)</f>
        <v>2208110.95</v>
      </c>
      <c r="R79" s="71">
        <f>+Q79/C79</f>
        <v>0.33080313857677907</v>
      </c>
      <c r="S79" s="70">
        <f>+C79-Q79</f>
        <v>4466889.05</v>
      </c>
      <c r="T79" s="71">
        <f>+S79/C79</f>
        <v>0.669196861423221</v>
      </c>
      <c r="U79" s="70">
        <f>+U80+U87+U88+U89</f>
        <v>4466889.05</v>
      </c>
      <c r="V79" s="68">
        <f>+U79/C79</f>
        <v>0.669196861423221</v>
      </c>
      <c r="AB79" s="2"/>
    </row>
    <row r="80" spans="1:28" s="3" customFormat="1" ht="15">
      <c r="A80" s="115" t="s">
        <v>115</v>
      </c>
      <c r="B80" s="22" t="s">
        <v>138</v>
      </c>
      <c r="C80" s="38">
        <v>15000</v>
      </c>
      <c r="D80" s="39"/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1381</v>
      </c>
      <c r="K80" s="39">
        <v>304.95</v>
      </c>
      <c r="L80" s="39"/>
      <c r="M80" s="39"/>
      <c r="N80" s="39"/>
      <c r="O80" s="39"/>
      <c r="P80" s="39"/>
      <c r="Q80" s="87">
        <f aca="true" t="shared" si="34" ref="Q80:Q113">SUM(E80:P80)</f>
        <v>1685.95</v>
      </c>
      <c r="R80" s="88">
        <f>+Q80/C80</f>
        <v>0.11239666666666667</v>
      </c>
      <c r="S80" s="87">
        <f>+C80-Q80</f>
        <v>13314.05</v>
      </c>
      <c r="T80" s="88">
        <f>+S80/C80</f>
        <v>0.8876033333333333</v>
      </c>
      <c r="U80" s="87">
        <f>+C80+D80-Q80</f>
        <v>13314.05</v>
      </c>
      <c r="V80" s="88">
        <f>+U80/C80</f>
        <v>0.8876033333333333</v>
      </c>
      <c r="AB80" s="2"/>
    </row>
    <row r="81" spans="1:28" s="3" customFormat="1" ht="17.25" customHeight="1" hidden="1">
      <c r="A81" s="97" t="s">
        <v>95</v>
      </c>
      <c r="B81" s="23" t="s">
        <v>44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87">
        <f t="shared" si="34"/>
        <v>0</v>
      </c>
      <c r="R81" s="88" t="e">
        <f>+Q81/C81</f>
        <v>#DIV/0!</v>
      </c>
      <c r="S81" s="87">
        <f>+C81-Q81</f>
        <v>0</v>
      </c>
      <c r="T81" s="88" t="e">
        <f>+S81/C81</f>
        <v>#DIV/0!</v>
      </c>
      <c r="U81" s="87">
        <f aca="true" t="shared" si="35" ref="U81:U86">+C78+D78-Q78</f>
        <v>0</v>
      </c>
      <c r="V81" s="88" t="e">
        <f>+U81/#REF!</f>
        <v>#REF!</v>
      </c>
      <c r="AB81" s="2"/>
    </row>
    <row r="82" spans="1:28" s="12" customFormat="1" ht="17.25" customHeight="1" hidden="1">
      <c r="A82" s="20" t="s">
        <v>45</v>
      </c>
      <c r="B82" s="8" t="s">
        <v>46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87">
        <f t="shared" si="34"/>
        <v>0</v>
      </c>
      <c r="R82" s="87"/>
      <c r="S82" s="87"/>
      <c r="T82" s="87"/>
      <c r="U82" s="87">
        <f t="shared" si="35"/>
        <v>4466889.05</v>
      </c>
      <c r="V82" s="87"/>
      <c r="W82" s="1"/>
      <c r="X82" s="1"/>
      <c r="Y82" s="1"/>
      <c r="Z82" s="1"/>
      <c r="AA82" s="1"/>
      <c r="AB82" s="1"/>
    </row>
    <row r="83" spans="1:28" s="10" customFormat="1" ht="17.25" customHeight="1" hidden="1">
      <c r="A83" s="92" t="s">
        <v>47</v>
      </c>
      <c r="B83" s="9" t="s">
        <v>48</v>
      </c>
      <c r="C83" s="4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87">
        <f t="shared" si="34"/>
        <v>0</v>
      </c>
      <c r="R83" s="87"/>
      <c r="S83" s="89">
        <v>0</v>
      </c>
      <c r="T83" s="89"/>
      <c r="U83" s="87">
        <f t="shared" si="35"/>
        <v>13314.05</v>
      </c>
      <c r="V83" s="87"/>
      <c r="W83" s="1"/>
      <c r="X83" s="1"/>
      <c r="Y83" s="1"/>
      <c r="Z83" s="1"/>
      <c r="AA83" s="1"/>
      <c r="AB83" s="1"/>
    </row>
    <row r="84" spans="1:28" s="3" customFormat="1" ht="17.25" customHeight="1" hidden="1">
      <c r="A84" s="92" t="s">
        <v>49</v>
      </c>
      <c r="B84" s="9" t="s">
        <v>50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87">
        <f t="shared" si="34"/>
        <v>0</v>
      </c>
      <c r="R84" s="87"/>
      <c r="S84" s="87"/>
      <c r="T84" s="87"/>
      <c r="U84" s="87">
        <f t="shared" si="35"/>
        <v>0</v>
      </c>
      <c r="V84" s="87"/>
      <c r="W84" s="1"/>
      <c r="X84" s="1"/>
      <c r="Y84" s="1"/>
      <c r="Z84" s="1"/>
      <c r="AA84" s="1"/>
      <c r="AB84" s="1"/>
    </row>
    <row r="85" spans="1:28" s="10" customFormat="1" ht="17.25" customHeight="1" hidden="1">
      <c r="A85" s="92" t="s">
        <v>51</v>
      </c>
      <c r="B85" s="9" t="s">
        <v>52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87">
        <f t="shared" si="34"/>
        <v>0</v>
      </c>
      <c r="R85" s="87"/>
      <c r="S85" s="87"/>
      <c r="T85" s="87"/>
      <c r="U85" s="87">
        <f t="shared" si="35"/>
        <v>0</v>
      </c>
      <c r="V85" s="87"/>
      <c r="W85" s="1"/>
      <c r="X85" s="1"/>
      <c r="Y85" s="1"/>
      <c r="Z85" s="1"/>
      <c r="AA85" s="1"/>
      <c r="AB85" s="1"/>
    </row>
    <row r="86" spans="1:28" s="10" customFormat="1" ht="69" customHeight="1" hidden="1">
      <c r="A86" s="92" t="s">
        <v>53</v>
      </c>
      <c r="B86" s="9" t="s">
        <v>54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7">
        <f t="shared" si="34"/>
        <v>0</v>
      </c>
      <c r="R86" s="87"/>
      <c r="S86" s="87"/>
      <c r="T86" s="87"/>
      <c r="U86" s="87">
        <f t="shared" si="35"/>
        <v>0</v>
      </c>
      <c r="V86" s="87"/>
      <c r="W86" s="1"/>
      <c r="X86" s="1"/>
      <c r="Y86" s="1"/>
      <c r="Z86" s="1"/>
      <c r="AA86" s="1"/>
      <c r="AB86" s="1"/>
    </row>
    <row r="87" spans="1:28" s="10" customFormat="1" ht="15">
      <c r="A87" s="92" t="s">
        <v>94</v>
      </c>
      <c r="B87" s="9" t="s">
        <v>43</v>
      </c>
      <c r="C87" s="39">
        <f>435000*12</f>
        <v>5220000</v>
      </c>
      <c r="D87" s="39"/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2205125</v>
      </c>
      <c r="L87" s="39"/>
      <c r="M87" s="39"/>
      <c r="N87" s="39"/>
      <c r="O87" s="39"/>
      <c r="P87" s="39"/>
      <c r="Q87" s="87">
        <f t="shared" si="34"/>
        <v>2205125</v>
      </c>
      <c r="R87" s="88">
        <f>+Q87/C87</f>
        <v>0.4224377394636015</v>
      </c>
      <c r="S87" s="87">
        <f aca="true" t="shared" si="36" ref="S87:S113">+C87-Q87</f>
        <v>3014875</v>
      </c>
      <c r="T87" s="88">
        <f aca="true" t="shared" si="37" ref="T87:T113">+S87/C87</f>
        <v>0.5775622605363985</v>
      </c>
      <c r="U87" s="87">
        <f aca="true" t="shared" si="38" ref="U87:U113">+C87+D87-Q87</f>
        <v>3014875</v>
      </c>
      <c r="V87" s="88">
        <f aca="true" t="shared" si="39" ref="V87:V93">+U87/C87</f>
        <v>0.5775622605363985</v>
      </c>
      <c r="W87" s="1"/>
      <c r="X87" s="1"/>
      <c r="Y87" s="1"/>
      <c r="Z87" s="1"/>
      <c r="AA87" s="1"/>
      <c r="AB87" s="1"/>
    </row>
    <row r="88" spans="1:28" s="10" customFormat="1" ht="15">
      <c r="A88" s="113" t="s">
        <v>303</v>
      </c>
      <c r="B88" s="9" t="s">
        <v>304</v>
      </c>
      <c r="C88" s="39">
        <f>120000*12</f>
        <v>1440000</v>
      </c>
      <c r="D88" s="39"/>
      <c r="E88" s="39">
        <v>1300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/>
      <c r="M88" s="39"/>
      <c r="N88" s="39"/>
      <c r="O88" s="39"/>
      <c r="P88" s="39"/>
      <c r="Q88" s="87">
        <f t="shared" si="34"/>
        <v>1300</v>
      </c>
      <c r="R88" s="88">
        <f>+Q88/C88</f>
        <v>0.0009027777777777777</v>
      </c>
      <c r="S88" s="87">
        <f>+C88-Q88</f>
        <v>1438700</v>
      </c>
      <c r="T88" s="88">
        <f>+S88/C88</f>
        <v>0.9990972222222222</v>
      </c>
      <c r="U88" s="87">
        <f t="shared" si="38"/>
        <v>1438700</v>
      </c>
      <c r="V88" s="88">
        <f t="shared" si="39"/>
        <v>0.9990972222222222</v>
      </c>
      <c r="W88" s="1"/>
      <c r="X88" s="1"/>
      <c r="Y88" s="1"/>
      <c r="Z88" s="1"/>
      <c r="AA88" s="1"/>
      <c r="AB88" s="1"/>
    </row>
    <row r="89" spans="1:28" s="10" customFormat="1" ht="15">
      <c r="A89" s="92" t="s">
        <v>95</v>
      </c>
      <c r="B89" s="9" t="s">
        <v>207</v>
      </c>
      <c r="C89" s="39">
        <v>0</v>
      </c>
      <c r="D89" s="39"/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/>
      <c r="M89" s="39"/>
      <c r="N89" s="39"/>
      <c r="O89" s="39"/>
      <c r="P89" s="39"/>
      <c r="Q89" s="87">
        <f t="shared" si="34"/>
        <v>0</v>
      </c>
      <c r="R89" s="88" t="e">
        <f>+Q89/C89</f>
        <v>#DIV/0!</v>
      </c>
      <c r="S89" s="87">
        <f t="shared" si="36"/>
        <v>0</v>
      </c>
      <c r="T89" s="88" t="e">
        <f t="shared" si="37"/>
        <v>#DIV/0!</v>
      </c>
      <c r="U89" s="87">
        <f t="shared" si="38"/>
        <v>0</v>
      </c>
      <c r="V89" s="88" t="e">
        <f t="shared" si="39"/>
        <v>#DIV/0!</v>
      </c>
      <c r="W89" s="1"/>
      <c r="X89" s="1"/>
      <c r="Y89" s="1"/>
      <c r="Z89" s="1"/>
      <c r="AA89" s="1"/>
      <c r="AB89" s="1"/>
    </row>
    <row r="90" spans="1:22" s="13" customFormat="1" ht="15">
      <c r="A90" s="20" t="s">
        <v>45</v>
      </c>
      <c r="B90" s="8" t="s">
        <v>196</v>
      </c>
      <c r="C90" s="66">
        <f>+C91+C92+C93+C94</f>
        <v>1152000</v>
      </c>
      <c r="D90" s="66">
        <f>+D91+D92+D93+D94</f>
        <v>2855503.23</v>
      </c>
      <c r="E90" s="66">
        <f>+E92+E93+E94</f>
        <v>942195.18</v>
      </c>
      <c r="F90" s="66">
        <f>+F91+F92+F93+F94</f>
        <v>353505.45</v>
      </c>
      <c r="G90" s="66">
        <f aca="true" t="shared" si="40" ref="G90:P90">+G91+G92+G93+G94</f>
        <v>2193705</v>
      </c>
      <c r="H90" s="66">
        <f>+H91+H92+H93+H94</f>
        <v>316097.6</v>
      </c>
      <c r="I90" s="66">
        <f t="shared" si="40"/>
        <v>125</v>
      </c>
      <c r="J90" s="66">
        <f t="shared" si="40"/>
        <v>151925</v>
      </c>
      <c r="K90" s="66">
        <f t="shared" si="40"/>
        <v>0</v>
      </c>
      <c r="L90" s="66">
        <f t="shared" si="40"/>
        <v>0</v>
      </c>
      <c r="M90" s="66">
        <f t="shared" si="40"/>
        <v>0</v>
      </c>
      <c r="N90" s="66">
        <f t="shared" si="40"/>
        <v>0</v>
      </c>
      <c r="O90" s="66">
        <f t="shared" si="40"/>
        <v>0</v>
      </c>
      <c r="P90" s="66">
        <f t="shared" si="40"/>
        <v>0</v>
      </c>
      <c r="Q90" s="70">
        <f>SUM(E90:P90)</f>
        <v>3957553.23</v>
      </c>
      <c r="R90" s="71">
        <f>+Q90/(C90+D90)</f>
        <v>0.9875358802892343</v>
      </c>
      <c r="S90" s="70">
        <f t="shared" si="36"/>
        <v>-2805553.23</v>
      </c>
      <c r="T90" s="71">
        <f t="shared" si="37"/>
        <v>-2.4353760677083334</v>
      </c>
      <c r="U90" s="70">
        <f>+U91+U92+U93+U94</f>
        <v>49950</v>
      </c>
      <c r="V90" s="68">
        <f t="shared" si="39"/>
        <v>0.043359375</v>
      </c>
    </row>
    <row r="91" spans="1:22" s="13" customFormat="1" ht="15">
      <c r="A91" s="97" t="s">
        <v>208</v>
      </c>
      <c r="B91" s="23" t="s">
        <v>209</v>
      </c>
      <c r="C91" s="39">
        <v>1000</v>
      </c>
      <c r="D91" s="39"/>
      <c r="E91" s="39">
        <v>0</v>
      </c>
      <c r="F91" s="38">
        <v>0</v>
      </c>
      <c r="G91" s="38">
        <v>0</v>
      </c>
      <c r="H91" s="38">
        <v>0</v>
      </c>
      <c r="I91" s="38">
        <v>50</v>
      </c>
      <c r="J91" s="38">
        <v>0</v>
      </c>
      <c r="K91" s="38">
        <v>0</v>
      </c>
      <c r="L91" s="38"/>
      <c r="M91" s="38"/>
      <c r="N91" s="38"/>
      <c r="O91" s="38"/>
      <c r="P91" s="38"/>
      <c r="Q91" s="87">
        <f t="shared" si="34"/>
        <v>50</v>
      </c>
      <c r="R91" s="88">
        <f>+Q91/C91</f>
        <v>0.05</v>
      </c>
      <c r="S91" s="87">
        <f t="shared" si="36"/>
        <v>950</v>
      </c>
      <c r="T91" s="88">
        <f t="shared" si="37"/>
        <v>0.95</v>
      </c>
      <c r="U91" s="87">
        <f t="shared" si="38"/>
        <v>950</v>
      </c>
      <c r="V91" s="88">
        <f t="shared" si="39"/>
        <v>0.95</v>
      </c>
    </row>
    <row r="92" spans="1:28" s="3" customFormat="1" ht="15">
      <c r="A92" s="97" t="s">
        <v>123</v>
      </c>
      <c r="B92" s="23" t="s">
        <v>50</v>
      </c>
      <c r="C92" s="39">
        <v>1000</v>
      </c>
      <c r="D92" s="39"/>
      <c r="E92" s="39">
        <v>0</v>
      </c>
      <c r="F92" s="38">
        <v>0</v>
      </c>
      <c r="G92" s="38">
        <v>0</v>
      </c>
      <c r="H92" s="38">
        <v>0</v>
      </c>
      <c r="I92" s="38">
        <v>75</v>
      </c>
      <c r="J92" s="38">
        <v>0</v>
      </c>
      <c r="K92" s="38">
        <v>0</v>
      </c>
      <c r="L92" s="38"/>
      <c r="M92" s="38"/>
      <c r="N92" s="38"/>
      <c r="O92" s="38"/>
      <c r="P92" s="38"/>
      <c r="Q92" s="87">
        <f t="shared" si="34"/>
        <v>75</v>
      </c>
      <c r="R92" s="88">
        <f>+Q92/C92</f>
        <v>0.075</v>
      </c>
      <c r="S92" s="87">
        <f t="shared" si="36"/>
        <v>925</v>
      </c>
      <c r="T92" s="88">
        <f t="shared" si="37"/>
        <v>0.925</v>
      </c>
      <c r="U92" s="87">
        <f t="shared" si="38"/>
        <v>925</v>
      </c>
      <c r="V92" s="88">
        <f t="shared" si="39"/>
        <v>0.925</v>
      </c>
      <c r="AB92" s="2"/>
    </row>
    <row r="93" spans="1:28" s="3" customFormat="1" ht="15">
      <c r="A93" s="95" t="s">
        <v>124</v>
      </c>
      <c r="B93" s="22" t="s">
        <v>149</v>
      </c>
      <c r="C93" s="38">
        <f>950000+200000</f>
        <v>1150000</v>
      </c>
      <c r="D93" s="38">
        <f>2539405.63+316097.6</f>
        <v>2855503.23</v>
      </c>
      <c r="E93" s="38">
        <v>942195.18</v>
      </c>
      <c r="F93" s="38">
        <v>353505.45</v>
      </c>
      <c r="G93" s="38">
        <v>2193705</v>
      </c>
      <c r="H93" s="38">
        <v>316097.6</v>
      </c>
      <c r="I93" s="38">
        <v>0</v>
      </c>
      <c r="J93" s="38">
        <v>151925</v>
      </c>
      <c r="K93" s="38">
        <v>0</v>
      </c>
      <c r="L93" s="38"/>
      <c r="M93" s="38"/>
      <c r="N93" s="38"/>
      <c r="O93" s="38"/>
      <c r="P93" s="38"/>
      <c r="Q93" s="87">
        <f t="shared" si="34"/>
        <v>3957428.23</v>
      </c>
      <c r="R93" s="88">
        <f>+(C93+D93)/Q93</f>
        <v>1.0121480409007948</v>
      </c>
      <c r="S93" s="87">
        <f t="shared" si="36"/>
        <v>-2807428.23</v>
      </c>
      <c r="T93" s="88">
        <f t="shared" si="37"/>
        <v>-2.441241939130435</v>
      </c>
      <c r="U93" s="87">
        <f t="shared" si="38"/>
        <v>48075</v>
      </c>
      <c r="V93" s="88">
        <f t="shared" si="39"/>
        <v>0.041804347826086954</v>
      </c>
      <c r="AB93" s="2"/>
    </row>
    <row r="94" spans="1:28" s="3" customFormat="1" ht="15">
      <c r="A94" s="95" t="s">
        <v>125</v>
      </c>
      <c r="B94" s="22" t="s">
        <v>54</v>
      </c>
      <c r="C94" s="38">
        <v>0</v>
      </c>
      <c r="D94" s="38"/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/>
      <c r="M94" s="38"/>
      <c r="N94" s="38"/>
      <c r="O94" s="38"/>
      <c r="P94" s="38"/>
      <c r="Q94" s="87">
        <f t="shared" si="34"/>
        <v>0</v>
      </c>
      <c r="R94" s="88" t="e">
        <f>+Q94/(D94+C94)</f>
        <v>#DIV/0!</v>
      </c>
      <c r="S94" s="87">
        <f t="shared" si="36"/>
        <v>0</v>
      </c>
      <c r="T94" s="88" t="e">
        <f t="shared" si="37"/>
        <v>#DIV/0!</v>
      </c>
      <c r="U94" s="87">
        <f t="shared" si="38"/>
        <v>0</v>
      </c>
      <c r="V94" s="88" t="e">
        <f aca="true" t="shared" si="41" ref="V94:V113">+U94/C94</f>
        <v>#DIV/0!</v>
      </c>
      <c r="AB94" s="2"/>
    </row>
    <row r="95" spans="1:28" s="3" customFormat="1" ht="15">
      <c r="A95" s="20" t="s">
        <v>212</v>
      </c>
      <c r="B95" s="8" t="s">
        <v>213</v>
      </c>
      <c r="C95" s="66">
        <f>+C96+C97+C98+C99</f>
        <v>1222930</v>
      </c>
      <c r="D95" s="66">
        <f>+D96+D97+D98+D99</f>
        <v>0</v>
      </c>
      <c r="E95" s="66">
        <f>+E96+E97+E98+E99</f>
        <v>0</v>
      </c>
      <c r="F95" s="66">
        <f>+F96+F97+F98+F99</f>
        <v>187918</v>
      </c>
      <c r="G95" s="66">
        <f aca="true" t="shared" si="42" ref="G95:L95">+G96+G97+G98+G99</f>
        <v>0</v>
      </c>
      <c r="H95" s="66">
        <f>+H96+H97+H98+H99</f>
        <v>0</v>
      </c>
      <c r="I95" s="66">
        <f t="shared" si="42"/>
        <v>0</v>
      </c>
      <c r="J95" s="66">
        <f t="shared" si="42"/>
        <v>387800</v>
      </c>
      <c r="K95" s="66">
        <f t="shared" si="42"/>
        <v>22461.16</v>
      </c>
      <c r="L95" s="66">
        <f t="shared" si="42"/>
        <v>0</v>
      </c>
      <c r="M95" s="66">
        <f>+M96+M97+M98+M99</f>
        <v>0</v>
      </c>
      <c r="N95" s="66">
        <f>+N96+N97+N98+N99</f>
        <v>0</v>
      </c>
      <c r="O95" s="66">
        <f>+O96+O97+O98+O99</f>
        <v>0</v>
      </c>
      <c r="P95" s="66">
        <f>+P96+P97+P98+P99</f>
        <v>0</v>
      </c>
      <c r="Q95" s="70">
        <f>SUM(E95:P95)</f>
        <v>598179.16</v>
      </c>
      <c r="R95" s="71">
        <f aca="true" t="shared" si="43" ref="R95:R108">+Q95/C95</f>
        <v>0.48913605848249697</v>
      </c>
      <c r="S95" s="70">
        <f t="shared" si="36"/>
        <v>624750.84</v>
      </c>
      <c r="T95" s="71">
        <f t="shared" si="37"/>
        <v>0.510863941517503</v>
      </c>
      <c r="U95" s="70">
        <f>+C95+D95-Q95</f>
        <v>624750.84</v>
      </c>
      <c r="V95" s="68">
        <f t="shared" si="41"/>
        <v>0.510863941517503</v>
      </c>
      <c r="AB95" s="2"/>
    </row>
    <row r="96" spans="1:28" s="3" customFormat="1" ht="15">
      <c r="A96" s="95" t="s">
        <v>228</v>
      </c>
      <c r="B96" s="22" t="s">
        <v>229</v>
      </c>
      <c r="C96" s="39">
        <f>100000*12-400000-127070-300000</f>
        <v>372930</v>
      </c>
      <c r="D96" s="39"/>
      <c r="E96" s="39">
        <v>0</v>
      </c>
      <c r="F96" s="39">
        <v>36108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/>
      <c r="M96" s="39"/>
      <c r="N96" s="39"/>
      <c r="O96" s="39"/>
      <c r="P96" s="39"/>
      <c r="Q96" s="87">
        <f t="shared" si="34"/>
        <v>36108</v>
      </c>
      <c r="R96" s="88">
        <f t="shared" si="43"/>
        <v>0.09682245997908455</v>
      </c>
      <c r="S96" s="87">
        <f t="shared" si="36"/>
        <v>336822</v>
      </c>
      <c r="T96" s="88">
        <f t="shared" si="37"/>
        <v>0.9031775400209154</v>
      </c>
      <c r="U96" s="87">
        <f t="shared" si="38"/>
        <v>336822</v>
      </c>
      <c r="V96" s="88">
        <f t="shared" si="41"/>
        <v>0.9031775400209154</v>
      </c>
      <c r="AB96" s="2"/>
    </row>
    <row r="97" spans="1:28" s="3" customFormat="1" ht="15">
      <c r="A97" s="95" t="s">
        <v>230</v>
      </c>
      <c r="B97" s="22" t="s">
        <v>231</v>
      </c>
      <c r="C97" s="39">
        <f>50000*12-300000-100000+200000</f>
        <v>400000</v>
      </c>
      <c r="D97" s="39"/>
      <c r="E97" s="39">
        <v>0</v>
      </c>
      <c r="F97" s="39">
        <v>129685</v>
      </c>
      <c r="G97" s="39">
        <v>0</v>
      </c>
      <c r="H97" s="39">
        <v>0</v>
      </c>
      <c r="I97" s="39">
        <v>0</v>
      </c>
      <c r="J97" s="39">
        <v>188800</v>
      </c>
      <c r="K97" s="39">
        <v>2461.16</v>
      </c>
      <c r="L97" s="39"/>
      <c r="M97" s="39"/>
      <c r="N97" s="39"/>
      <c r="O97" s="39"/>
      <c r="P97" s="39"/>
      <c r="Q97" s="87">
        <f t="shared" si="34"/>
        <v>320946.16</v>
      </c>
      <c r="R97" s="88">
        <f t="shared" si="43"/>
        <v>0.8023653999999999</v>
      </c>
      <c r="S97" s="87">
        <f t="shared" si="36"/>
        <v>79053.84000000003</v>
      </c>
      <c r="T97" s="88">
        <f t="shared" si="37"/>
        <v>0.19763460000000008</v>
      </c>
      <c r="U97" s="87">
        <f t="shared" si="38"/>
        <v>79053.84000000003</v>
      </c>
      <c r="V97" s="88">
        <f t="shared" si="41"/>
        <v>0.19763460000000008</v>
      </c>
      <c r="AB97" s="2"/>
    </row>
    <row r="98" spans="1:28" s="3" customFormat="1" ht="15">
      <c r="A98" s="95" t="s">
        <v>232</v>
      </c>
      <c r="B98" s="22" t="s">
        <v>233</v>
      </c>
      <c r="C98" s="39">
        <f>35000*12-200000</f>
        <v>220000</v>
      </c>
      <c r="D98" s="39"/>
      <c r="E98" s="39">
        <v>0</v>
      </c>
      <c r="F98" s="39">
        <v>22125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/>
      <c r="M98" s="39"/>
      <c r="N98" s="39"/>
      <c r="O98" s="39"/>
      <c r="P98" s="39"/>
      <c r="Q98" s="87">
        <f t="shared" si="34"/>
        <v>22125</v>
      </c>
      <c r="R98" s="88">
        <f t="shared" si="43"/>
        <v>0.10056818181818182</v>
      </c>
      <c r="S98" s="87">
        <f t="shared" si="36"/>
        <v>197875</v>
      </c>
      <c r="T98" s="88">
        <f t="shared" si="37"/>
        <v>0.8994318181818182</v>
      </c>
      <c r="U98" s="87">
        <f t="shared" si="38"/>
        <v>197875</v>
      </c>
      <c r="V98" s="88">
        <f t="shared" si="41"/>
        <v>0.8994318181818182</v>
      </c>
      <c r="AB98" s="2"/>
    </row>
    <row r="99" spans="1:28" s="3" customFormat="1" ht="15">
      <c r="A99" s="95" t="s">
        <v>211</v>
      </c>
      <c r="B99" s="22" t="s">
        <v>210</v>
      </c>
      <c r="C99" s="39">
        <f>30000*12-50000-100000+20000</f>
        <v>230000</v>
      </c>
      <c r="D99" s="39"/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199000</v>
      </c>
      <c r="K99" s="39">
        <v>20000</v>
      </c>
      <c r="L99" s="39"/>
      <c r="M99" s="39"/>
      <c r="N99" s="39"/>
      <c r="O99" s="39"/>
      <c r="P99" s="39"/>
      <c r="Q99" s="87">
        <f t="shared" si="34"/>
        <v>219000</v>
      </c>
      <c r="R99" s="88">
        <f t="shared" si="43"/>
        <v>0.9521739130434783</v>
      </c>
      <c r="S99" s="87">
        <f t="shared" si="36"/>
        <v>11000</v>
      </c>
      <c r="T99" s="88">
        <f t="shared" si="37"/>
        <v>0.04782608695652174</v>
      </c>
      <c r="U99" s="87">
        <f t="shared" si="38"/>
        <v>11000</v>
      </c>
      <c r="V99" s="88">
        <f t="shared" si="41"/>
        <v>0.04782608695652174</v>
      </c>
      <c r="AB99" s="2"/>
    </row>
    <row r="100" spans="1:28" s="3" customFormat="1" ht="15">
      <c r="A100" s="20" t="s">
        <v>216</v>
      </c>
      <c r="B100" s="8" t="s">
        <v>217</v>
      </c>
      <c r="C100" s="66">
        <f>+C101+C102</f>
        <v>4747070</v>
      </c>
      <c r="D100" s="66">
        <f>+D101+D102</f>
        <v>2605930</v>
      </c>
      <c r="E100" s="66">
        <f>+E101+E102</f>
        <v>0</v>
      </c>
      <c r="F100" s="66">
        <f>+F101</f>
        <v>3153000</v>
      </c>
      <c r="G100" s="66">
        <f aca="true" t="shared" si="44" ref="G100:L100">+G101</f>
        <v>0</v>
      </c>
      <c r="H100" s="66">
        <f>+H101+H102</f>
        <v>0</v>
      </c>
      <c r="I100" s="66">
        <f>+I101+I102</f>
        <v>0</v>
      </c>
      <c r="J100" s="66">
        <f t="shared" si="44"/>
        <v>3297982</v>
      </c>
      <c r="K100" s="66">
        <f t="shared" si="44"/>
        <v>0</v>
      </c>
      <c r="L100" s="66">
        <f t="shared" si="44"/>
        <v>0</v>
      </c>
      <c r="M100" s="66">
        <f>+M101+M102</f>
        <v>0</v>
      </c>
      <c r="N100" s="66">
        <f>+N101+N102</f>
        <v>0</v>
      </c>
      <c r="O100" s="66">
        <f>+O101+O102</f>
        <v>0</v>
      </c>
      <c r="P100" s="66">
        <f>+P101+P102</f>
        <v>0</v>
      </c>
      <c r="Q100" s="70">
        <f>SUM(E100:P100)</f>
        <v>6450982</v>
      </c>
      <c r="R100" s="71">
        <f t="shared" si="43"/>
        <v>1.358939724925059</v>
      </c>
      <c r="S100" s="70">
        <f t="shared" si="36"/>
        <v>-1703912</v>
      </c>
      <c r="T100" s="71">
        <f t="shared" si="37"/>
        <v>-0.35893972492505904</v>
      </c>
      <c r="U100" s="70">
        <f>+C100+D100-Q100</f>
        <v>902018</v>
      </c>
      <c r="V100" s="68">
        <f t="shared" si="41"/>
        <v>0.1900157360224307</v>
      </c>
      <c r="AB100" s="2"/>
    </row>
    <row r="101" spans="1:28" s="3" customFormat="1" ht="15">
      <c r="A101" s="95" t="s">
        <v>215</v>
      </c>
      <c r="B101" s="22" t="s">
        <v>214</v>
      </c>
      <c r="C101" s="39">
        <f>35000*12+127070+4000000</f>
        <v>4547070</v>
      </c>
      <c r="D101" s="39">
        <v>2605930</v>
      </c>
      <c r="E101" s="39">
        <v>0</v>
      </c>
      <c r="F101" s="39">
        <v>3153000</v>
      </c>
      <c r="G101" s="39">
        <v>0</v>
      </c>
      <c r="H101" s="39">
        <v>0</v>
      </c>
      <c r="I101" s="39">
        <v>0</v>
      </c>
      <c r="J101" s="39">
        <v>3297982</v>
      </c>
      <c r="K101" s="39">
        <v>0</v>
      </c>
      <c r="L101" s="39"/>
      <c r="M101" s="39"/>
      <c r="N101" s="39"/>
      <c r="O101" s="39"/>
      <c r="P101" s="39"/>
      <c r="Q101" s="87">
        <f t="shared" si="34"/>
        <v>6450982</v>
      </c>
      <c r="R101" s="88">
        <f t="shared" si="43"/>
        <v>1.4187118298156836</v>
      </c>
      <c r="S101" s="87">
        <f t="shared" si="36"/>
        <v>-1903912</v>
      </c>
      <c r="T101" s="88">
        <f t="shared" si="37"/>
        <v>-0.4187118298156835</v>
      </c>
      <c r="U101" s="87">
        <f t="shared" si="38"/>
        <v>702018</v>
      </c>
      <c r="V101" s="88">
        <f t="shared" si="41"/>
        <v>0.15438909011737229</v>
      </c>
      <c r="AB101" s="2"/>
    </row>
    <row r="102" spans="1:28" s="3" customFormat="1" ht="15">
      <c r="A102" s="95" t="s">
        <v>255</v>
      </c>
      <c r="B102" s="22" t="s">
        <v>254</v>
      </c>
      <c r="C102" s="39">
        <f>50000*12-400000</f>
        <v>200000</v>
      </c>
      <c r="D102" s="39"/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/>
      <c r="M102" s="39"/>
      <c r="N102" s="39"/>
      <c r="O102" s="39"/>
      <c r="P102" s="39"/>
      <c r="Q102" s="87">
        <f t="shared" si="34"/>
        <v>0</v>
      </c>
      <c r="R102" s="88">
        <f t="shared" si="43"/>
        <v>0</v>
      </c>
      <c r="S102" s="87">
        <f t="shared" si="36"/>
        <v>200000</v>
      </c>
      <c r="T102" s="88">
        <f t="shared" si="37"/>
        <v>1</v>
      </c>
      <c r="U102" s="87">
        <f t="shared" si="38"/>
        <v>200000</v>
      </c>
      <c r="V102" s="88">
        <f t="shared" si="41"/>
        <v>1</v>
      </c>
      <c r="AB102" s="2"/>
    </row>
    <row r="103" spans="1:28" s="12" customFormat="1" ht="15">
      <c r="A103" s="20" t="s">
        <v>55</v>
      </c>
      <c r="B103" s="8" t="s">
        <v>197</v>
      </c>
      <c r="C103" s="66">
        <f>+C105+C106+C107</f>
        <v>2060000</v>
      </c>
      <c r="D103" s="66">
        <f>+D105+D106+D107</f>
        <v>0</v>
      </c>
      <c r="E103" s="66">
        <f>+E104+E105+E106+E107</f>
        <v>7534.97</v>
      </c>
      <c r="F103" s="66">
        <f>+F105+F107</f>
        <v>160577.6</v>
      </c>
      <c r="G103" s="66">
        <f>+G104+G105+G106+G107</f>
        <v>3633.53</v>
      </c>
      <c r="H103" s="66">
        <f>+H105+H106+H107</f>
        <v>4045</v>
      </c>
      <c r="I103" s="66">
        <f>+I105+I106+I107</f>
        <v>129728.48999999999</v>
      </c>
      <c r="J103" s="66">
        <f>+J104+J105+J106+J107</f>
        <v>188.51</v>
      </c>
      <c r="K103" s="66">
        <f>+K105+K106+K107</f>
        <v>912.98</v>
      </c>
      <c r="L103" s="66">
        <f>+L105+L107</f>
        <v>0</v>
      </c>
      <c r="M103" s="66">
        <f>+M105+M106+M107</f>
        <v>0</v>
      </c>
      <c r="N103" s="66">
        <f>+N105+N106+N107</f>
        <v>0</v>
      </c>
      <c r="O103" s="66">
        <f>+O105+O106+O107</f>
        <v>0</v>
      </c>
      <c r="P103" s="66">
        <f>+P104+P105+P106+P107</f>
        <v>0</v>
      </c>
      <c r="Q103" s="70">
        <f>SUM(E103:P103)</f>
        <v>306621.07999999996</v>
      </c>
      <c r="R103" s="71">
        <f t="shared" si="43"/>
        <v>0.1488451844660194</v>
      </c>
      <c r="S103" s="70">
        <f t="shared" si="36"/>
        <v>1753378.92</v>
      </c>
      <c r="T103" s="71">
        <f t="shared" si="37"/>
        <v>0.8511548155339805</v>
      </c>
      <c r="U103" s="70">
        <f>+U105+U106+U107</f>
        <v>1753378.92</v>
      </c>
      <c r="V103" s="68">
        <f t="shared" si="41"/>
        <v>0.8511548155339805</v>
      </c>
      <c r="W103" s="1"/>
      <c r="X103" s="1"/>
      <c r="Y103" s="1"/>
      <c r="Z103" s="1"/>
      <c r="AA103" s="1"/>
      <c r="AB103" s="1"/>
    </row>
    <row r="104" spans="1:28" s="12" customFormat="1" ht="15">
      <c r="A104" s="121" t="s">
        <v>314</v>
      </c>
      <c r="B104" s="22" t="s">
        <v>311</v>
      </c>
      <c r="C104" s="39">
        <v>0</v>
      </c>
      <c r="D104" s="39"/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/>
      <c r="M104" s="39"/>
      <c r="N104" s="39"/>
      <c r="O104" s="39"/>
      <c r="P104" s="39"/>
      <c r="Q104" s="87">
        <f t="shared" si="34"/>
        <v>0</v>
      </c>
      <c r="R104" s="88" t="e">
        <f>+Q104/C104</f>
        <v>#DIV/0!</v>
      </c>
      <c r="S104" s="87">
        <f>+C104-Q104</f>
        <v>0</v>
      </c>
      <c r="T104" s="88" t="e">
        <f>+S104/C104</f>
        <v>#DIV/0!</v>
      </c>
      <c r="U104" s="87">
        <f>+C104+D104-Q104</f>
        <v>0</v>
      </c>
      <c r="V104" s="88" t="e">
        <f>+U104/C104</f>
        <v>#DIV/0!</v>
      </c>
      <c r="W104" s="1"/>
      <c r="X104" s="1"/>
      <c r="Y104" s="1"/>
      <c r="Z104" s="1"/>
      <c r="AA104" s="1"/>
      <c r="AB104" s="1"/>
    </row>
    <row r="105" spans="1:28" s="3" customFormat="1" ht="15">
      <c r="A105" s="95" t="s">
        <v>96</v>
      </c>
      <c r="B105" s="22" t="s">
        <v>56</v>
      </c>
      <c r="C105" s="39">
        <f>100000*12-500000</f>
        <v>700000</v>
      </c>
      <c r="D105" s="39"/>
      <c r="E105" s="39">
        <v>0</v>
      </c>
      <c r="F105" s="39">
        <v>159677.6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/>
      <c r="M105" s="39"/>
      <c r="N105" s="39"/>
      <c r="O105" s="39"/>
      <c r="P105" s="39"/>
      <c r="Q105" s="87">
        <f t="shared" si="34"/>
        <v>159677.6</v>
      </c>
      <c r="R105" s="88">
        <f t="shared" si="43"/>
        <v>0.22811085714285714</v>
      </c>
      <c r="S105" s="87">
        <f t="shared" si="36"/>
        <v>540322.4</v>
      </c>
      <c r="T105" s="88">
        <f t="shared" si="37"/>
        <v>0.7718891428571429</v>
      </c>
      <c r="U105" s="87">
        <f t="shared" si="38"/>
        <v>540322.4</v>
      </c>
      <c r="V105" s="88">
        <f t="shared" si="41"/>
        <v>0.7718891428571429</v>
      </c>
      <c r="W105" s="2"/>
      <c r="X105" s="2"/>
      <c r="Y105" s="2"/>
      <c r="Z105" s="2"/>
      <c r="AA105" s="2"/>
      <c r="AB105" s="17"/>
    </row>
    <row r="106" spans="1:28" s="3" customFormat="1" ht="15">
      <c r="A106" s="95" t="s">
        <v>244</v>
      </c>
      <c r="B106" s="22" t="s">
        <v>245</v>
      </c>
      <c r="C106" s="39">
        <f>50000*12-140000</f>
        <v>460000</v>
      </c>
      <c r="D106" s="39"/>
      <c r="E106" s="39">
        <v>2800</v>
      </c>
      <c r="F106" s="39">
        <v>0</v>
      </c>
      <c r="G106" s="39">
        <v>0</v>
      </c>
      <c r="H106" s="39">
        <v>3000</v>
      </c>
      <c r="I106" s="39">
        <v>1929.01</v>
      </c>
      <c r="J106" s="39">
        <v>120.01</v>
      </c>
      <c r="K106" s="39">
        <v>0</v>
      </c>
      <c r="L106" s="39"/>
      <c r="M106" s="39"/>
      <c r="N106" s="39"/>
      <c r="O106" s="39"/>
      <c r="P106" s="39"/>
      <c r="Q106" s="87">
        <f t="shared" si="34"/>
        <v>7849.02</v>
      </c>
      <c r="R106" s="88">
        <f t="shared" si="43"/>
        <v>0.01706308695652174</v>
      </c>
      <c r="S106" s="87">
        <f t="shared" si="36"/>
        <v>452150.98</v>
      </c>
      <c r="T106" s="88">
        <f t="shared" si="37"/>
        <v>0.9829369130434782</v>
      </c>
      <c r="U106" s="87">
        <f t="shared" si="38"/>
        <v>452150.98</v>
      </c>
      <c r="V106" s="88">
        <f t="shared" si="41"/>
        <v>0.9829369130434782</v>
      </c>
      <c r="W106" s="2"/>
      <c r="X106" s="2"/>
      <c r="Y106" s="2"/>
      <c r="Z106" s="2"/>
      <c r="AA106" s="2"/>
      <c r="AB106" s="17"/>
    </row>
    <row r="107" spans="1:28" s="3" customFormat="1" ht="15">
      <c r="A107" s="95" t="s">
        <v>97</v>
      </c>
      <c r="B107" s="22" t="s">
        <v>234</v>
      </c>
      <c r="C107" s="34">
        <f>75000*12</f>
        <v>900000</v>
      </c>
      <c r="D107" s="39"/>
      <c r="E107" s="39">
        <v>4734.97</v>
      </c>
      <c r="F107" s="38">
        <v>900</v>
      </c>
      <c r="G107" s="38">
        <v>3633.53</v>
      </c>
      <c r="H107" s="38">
        <v>1045</v>
      </c>
      <c r="I107" s="38">
        <v>127799.48</v>
      </c>
      <c r="J107" s="38">
        <v>68.5</v>
      </c>
      <c r="K107" s="38">
        <v>912.98</v>
      </c>
      <c r="L107" s="38"/>
      <c r="M107" s="38"/>
      <c r="N107" s="38"/>
      <c r="O107" s="38"/>
      <c r="P107" s="38"/>
      <c r="Q107" s="87">
        <f t="shared" si="34"/>
        <v>139094.46</v>
      </c>
      <c r="R107" s="88">
        <f t="shared" si="43"/>
        <v>0.1545494</v>
      </c>
      <c r="S107" s="87">
        <f t="shared" si="36"/>
        <v>760905.54</v>
      </c>
      <c r="T107" s="88">
        <f t="shared" si="37"/>
        <v>0.8454506</v>
      </c>
      <c r="U107" s="87">
        <f t="shared" si="38"/>
        <v>760905.54</v>
      </c>
      <c r="V107" s="88">
        <f t="shared" si="41"/>
        <v>0.8454506</v>
      </c>
      <c r="W107" s="2"/>
      <c r="X107" s="2"/>
      <c r="Y107" s="2"/>
      <c r="Z107" s="2"/>
      <c r="AA107" s="2"/>
      <c r="AB107" s="17"/>
    </row>
    <row r="108" spans="1:28" s="12" customFormat="1" ht="30">
      <c r="A108" s="86" t="s">
        <v>57</v>
      </c>
      <c r="B108" s="31" t="s">
        <v>198</v>
      </c>
      <c r="C108" s="66">
        <f aca="true" t="shared" si="45" ref="C108:P108">+C109+C110+C111+C112+C113</f>
        <v>3874956</v>
      </c>
      <c r="D108" s="66">
        <f t="shared" si="45"/>
        <v>0</v>
      </c>
      <c r="E108" s="66">
        <f t="shared" si="45"/>
        <v>5795.1</v>
      </c>
      <c r="F108" s="66">
        <f t="shared" si="45"/>
        <v>39087.12</v>
      </c>
      <c r="G108" s="66">
        <f t="shared" si="45"/>
        <v>29972.75</v>
      </c>
      <c r="H108" s="66">
        <f t="shared" si="45"/>
        <v>1142024.9</v>
      </c>
      <c r="I108" s="66">
        <f t="shared" si="45"/>
        <v>3946.18</v>
      </c>
      <c r="J108" s="66">
        <f t="shared" si="45"/>
        <v>931724.2000000001</v>
      </c>
      <c r="K108" s="66">
        <f t="shared" si="45"/>
        <v>301081.4</v>
      </c>
      <c r="L108" s="66">
        <f t="shared" si="45"/>
        <v>0</v>
      </c>
      <c r="M108" s="66">
        <f t="shared" si="45"/>
        <v>0</v>
      </c>
      <c r="N108" s="66">
        <f t="shared" si="45"/>
        <v>0</v>
      </c>
      <c r="O108" s="66">
        <f t="shared" si="45"/>
        <v>0</v>
      </c>
      <c r="P108" s="66">
        <f t="shared" si="45"/>
        <v>0</v>
      </c>
      <c r="Q108" s="70">
        <f>SUM(E108:P108)</f>
        <v>2453631.65</v>
      </c>
      <c r="R108" s="71">
        <f t="shared" si="43"/>
        <v>0.6332024544278696</v>
      </c>
      <c r="S108" s="70">
        <f t="shared" si="36"/>
        <v>1421324.35</v>
      </c>
      <c r="T108" s="71">
        <f t="shared" si="37"/>
        <v>0.3667975455721304</v>
      </c>
      <c r="U108" s="70">
        <f>+U109+U110+U111+U112+U113</f>
        <v>1421324.35</v>
      </c>
      <c r="V108" s="68">
        <f t="shared" si="41"/>
        <v>0.3667975455721304</v>
      </c>
      <c r="W108" s="1"/>
      <c r="X108" s="1"/>
      <c r="Y108" s="1"/>
      <c r="Z108" s="1"/>
      <c r="AA108" s="1"/>
      <c r="AB108" s="1"/>
    </row>
    <row r="109" spans="1:28" s="12" customFormat="1" ht="15">
      <c r="A109" s="111" t="s">
        <v>297</v>
      </c>
      <c r="B109" s="22" t="s">
        <v>298</v>
      </c>
      <c r="C109" s="34">
        <f>50000*12</f>
        <v>600000</v>
      </c>
      <c r="D109" s="39"/>
      <c r="E109" s="39">
        <v>0</v>
      </c>
      <c r="F109" s="38">
        <v>0</v>
      </c>
      <c r="G109" s="38">
        <v>970</v>
      </c>
      <c r="H109" s="38">
        <v>150</v>
      </c>
      <c r="I109" s="38">
        <v>0</v>
      </c>
      <c r="J109" s="38">
        <v>125</v>
      </c>
      <c r="K109" s="38">
        <v>0</v>
      </c>
      <c r="L109" s="38"/>
      <c r="M109" s="38"/>
      <c r="N109" s="38"/>
      <c r="O109" s="38"/>
      <c r="P109" s="38"/>
      <c r="Q109" s="87">
        <f t="shared" si="34"/>
        <v>1245</v>
      </c>
      <c r="R109" s="88">
        <f>+Q109/(C109+D109)</f>
        <v>0.002075</v>
      </c>
      <c r="S109" s="87">
        <f>+C109-Q109</f>
        <v>598755</v>
      </c>
      <c r="T109" s="88">
        <f>+S109/C109</f>
        <v>0.997925</v>
      </c>
      <c r="U109" s="87">
        <f t="shared" si="38"/>
        <v>598755</v>
      </c>
      <c r="V109" s="88">
        <f>+U109/C109</f>
        <v>0.997925</v>
      </c>
      <c r="W109" s="1"/>
      <c r="X109" s="1"/>
      <c r="Y109" s="1"/>
      <c r="Z109" s="1"/>
      <c r="AA109" s="1"/>
      <c r="AB109" s="1"/>
    </row>
    <row r="110" spans="1:28" s="12" customFormat="1" ht="15">
      <c r="A110" s="107" t="s">
        <v>246</v>
      </c>
      <c r="B110" s="22" t="s">
        <v>247</v>
      </c>
      <c r="C110" s="34">
        <f>40000*12</f>
        <v>480000</v>
      </c>
      <c r="D110" s="39"/>
      <c r="E110" s="39">
        <v>140</v>
      </c>
      <c r="F110" s="38">
        <v>34686.8</v>
      </c>
      <c r="G110" s="38">
        <v>0</v>
      </c>
      <c r="H110" s="38">
        <v>0</v>
      </c>
      <c r="I110" s="38">
        <v>684.4</v>
      </c>
      <c r="J110" s="38"/>
      <c r="K110" s="38">
        <v>0</v>
      </c>
      <c r="L110" s="38"/>
      <c r="M110" s="38"/>
      <c r="N110" s="38"/>
      <c r="O110" s="38"/>
      <c r="P110" s="38"/>
      <c r="Q110" s="87">
        <f t="shared" si="34"/>
        <v>35511.200000000004</v>
      </c>
      <c r="R110" s="88">
        <v>0</v>
      </c>
      <c r="S110" s="87">
        <f>+C110-Q110</f>
        <v>444488.8</v>
      </c>
      <c r="T110" s="88">
        <f>+S110/C110</f>
        <v>0.9260183333333333</v>
      </c>
      <c r="U110" s="87">
        <f t="shared" si="38"/>
        <v>444488.8</v>
      </c>
      <c r="V110" s="88">
        <f>+U110/C110</f>
        <v>0.9260183333333333</v>
      </c>
      <c r="W110" s="1"/>
      <c r="X110" s="1"/>
      <c r="Y110" s="1"/>
      <c r="Z110" s="1"/>
      <c r="AA110" s="1"/>
      <c r="AB110" s="1"/>
    </row>
    <row r="111" spans="1:28" s="12" customFormat="1" ht="15">
      <c r="A111" s="111" t="s">
        <v>299</v>
      </c>
      <c r="B111" s="22" t="s">
        <v>300</v>
      </c>
      <c r="C111" s="34">
        <v>1200000</v>
      </c>
      <c r="D111" s="39"/>
      <c r="E111" s="39">
        <v>0</v>
      </c>
      <c r="F111" s="38">
        <v>0</v>
      </c>
      <c r="G111" s="38">
        <v>0</v>
      </c>
      <c r="H111" s="38">
        <v>1141424.9</v>
      </c>
      <c r="I111" s="38">
        <v>0</v>
      </c>
      <c r="J111" s="38"/>
      <c r="K111" s="38">
        <v>0</v>
      </c>
      <c r="L111" s="38"/>
      <c r="M111" s="38"/>
      <c r="N111" s="38"/>
      <c r="O111" s="38"/>
      <c r="P111" s="38"/>
      <c r="Q111" s="87">
        <f t="shared" si="34"/>
        <v>1141424.9</v>
      </c>
      <c r="R111" s="88">
        <f>+Q111/(C111+D111)</f>
        <v>0.9511874166666666</v>
      </c>
      <c r="S111" s="87">
        <f>+C111-Q111</f>
        <v>58575.10000000009</v>
      </c>
      <c r="T111" s="88">
        <f>+S111/C111</f>
        <v>0.04881258333333341</v>
      </c>
      <c r="U111" s="87">
        <f t="shared" si="38"/>
        <v>58575.10000000009</v>
      </c>
      <c r="V111" s="88">
        <f>+U111/C111</f>
        <v>0.04881258333333341</v>
      </c>
      <c r="W111" s="1"/>
      <c r="X111" s="1"/>
      <c r="Y111" s="1"/>
      <c r="Z111" s="1"/>
      <c r="AA111" s="1"/>
      <c r="AB111" s="1"/>
    </row>
    <row r="112" spans="1:28" s="12" customFormat="1" ht="15">
      <c r="A112" s="107" t="s">
        <v>165</v>
      </c>
      <c r="B112" s="22" t="s">
        <v>172</v>
      </c>
      <c r="C112" s="34">
        <f>60000*12+300000+300000</f>
        <v>1320000</v>
      </c>
      <c r="D112" s="39"/>
      <c r="E112" s="39">
        <v>4755.1</v>
      </c>
      <c r="F112" s="38">
        <v>4400.32</v>
      </c>
      <c r="G112" s="38">
        <f>168.03+28834.72</f>
        <v>29002.75</v>
      </c>
      <c r="H112" s="38">
        <v>0</v>
      </c>
      <c r="I112" s="38">
        <v>1761.78</v>
      </c>
      <c r="J112" s="38">
        <f>480.02+930779.18</f>
        <v>931259.2000000001</v>
      </c>
      <c r="K112" s="38">
        <f>295401.2+5680.2</f>
        <v>301081.4</v>
      </c>
      <c r="L112" s="38"/>
      <c r="M112" s="38"/>
      <c r="N112" s="38"/>
      <c r="O112" s="38"/>
      <c r="P112" s="38"/>
      <c r="Q112" s="87">
        <f t="shared" si="34"/>
        <v>1272260.55</v>
      </c>
      <c r="R112" s="88">
        <f>+Q112/(C112+D112)</f>
        <v>0.96383375</v>
      </c>
      <c r="S112" s="87">
        <f>+C112-Q112</f>
        <v>47739.44999999995</v>
      </c>
      <c r="T112" s="88">
        <f>+S112/C112</f>
        <v>0.03616624999999996</v>
      </c>
      <c r="U112" s="87">
        <f t="shared" si="38"/>
        <v>47739.44999999995</v>
      </c>
      <c r="V112" s="88">
        <f>+U112/C112</f>
        <v>0.03616624999999996</v>
      </c>
      <c r="W112" s="1"/>
      <c r="X112" s="1"/>
      <c r="Y112" s="1"/>
      <c r="Z112" s="1"/>
      <c r="AA112" s="1"/>
      <c r="AB112" s="1"/>
    </row>
    <row r="113" spans="1:28" s="3" customFormat="1" ht="15">
      <c r="A113" s="111" t="s">
        <v>302</v>
      </c>
      <c r="B113" s="22" t="s">
        <v>301</v>
      </c>
      <c r="C113" s="34">
        <f>22913*12</f>
        <v>274956</v>
      </c>
      <c r="D113" s="39"/>
      <c r="E113" s="39">
        <v>900</v>
      </c>
      <c r="F113" s="38">
        <v>0</v>
      </c>
      <c r="G113" s="38">
        <v>0</v>
      </c>
      <c r="H113" s="38">
        <v>450</v>
      </c>
      <c r="I113" s="38">
        <v>1500</v>
      </c>
      <c r="J113" s="38">
        <v>340</v>
      </c>
      <c r="K113" s="38">
        <v>0</v>
      </c>
      <c r="L113" s="38"/>
      <c r="M113" s="38"/>
      <c r="N113" s="38"/>
      <c r="O113" s="38"/>
      <c r="P113" s="38"/>
      <c r="Q113" s="87">
        <f t="shared" si="34"/>
        <v>3190</v>
      </c>
      <c r="R113" s="88">
        <f>+Q113/(C113+D113)</f>
        <v>0.011601856297007522</v>
      </c>
      <c r="S113" s="87">
        <f t="shared" si="36"/>
        <v>271766</v>
      </c>
      <c r="T113" s="88">
        <f t="shared" si="37"/>
        <v>0.9883981437029925</v>
      </c>
      <c r="U113" s="87">
        <f t="shared" si="38"/>
        <v>271766</v>
      </c>
      <c r="V113" s="88">
        <f t="shared" si="41"/>
        <v>0.9883981437029925</v>
      </c>
      <c r="W113" s="2"/>
      <c r="X113" s="2"/>
      <c r="Y113" s="2"/>
      <c r="Z113" s="2"/>
      <c r="AA113" s="2"/>
      <c r="AB113" s="17"/>
    </row>
    <row r="114" spans="1:28" s="3" customFormat="1" ht="15" hidden="1">
      <c r="A114" s="43" t="s">
        <v>58</v>
      </c>
      <c r="B114" s="6" t="s">
        <v>59</v>
      </c>
      <c r="C114" s="54">
        <v>0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52"/>
      <c r="R114" s="52"/>
      <c r="S114" s="55">
        <v>0</v>
      </c>
      <c r="T114" s="55"/>
      <c r="U114" s="52"/>
      <c r="V114" s="52"/>
      <c r="AB114" s="2"/>
    </row>
    <row r="115" spans="1:22" s="13" customFormat="1" ht="30">
      <c r="A115" s="35" t="s">
        <v>60</v>
      </c>
      <c r="B115" s="100" t="s">
        <v>270</v>
      </c>
      <c r="C115" s="66">
        <f>+C116+C117+C118+C119+C121+C122+C124+C127+C128</f>
        <v>62561000</v>
      </c>
      <c r="D115" s="66">
        <f>+D116+D117+D118+D119+D121+D122+D124+D127+D128</f>
        <v>1400000</v>
      </c>
      <c r="E115" s="66">
        <f>+E116+E117+E118+E119+E121+E122+E128+E127</f>
        <v>15791593.63</v>
      </c>
      <c r="F115" s="66">
        <f>+F116+F117+F118+F119+F121+F122+F124+F127+F128</f>
        <v>5083576.33</v>
      </c>
      <c r="G115" s="66">
        <f>+G116+G117+G118+G119+G121+G122+G124+G127+G128</f>
        <v>5930319.130000001</v>
      </c>
      <c r="H115" s="66">
        <f>+H116+H117+H118+H119+H121+H122+H124+H127+H128</f>
        <v>5168632.71</v>
      </c>
      <c r="I115" s="66">
        <f>+I116+I117+I118+I119+I121+I122+I124+I126+I127+I128</f>
        <v>6740073.210000001</v>
      </c>
      <c r="J115" s="66">
        <f>+J116+J117+J118+J119+J121+J122+J128+J127</f>
        <v>6680440.96</v>
      </c>
      <c r="K115" s="66">
        <f>+K116+K117+K118+K119+K121+K122+K124+K125+K126+K127+K128</f>
        <v>6645580.97</v>
      </c>
      <c r="L115" s="66">
        <f>+L116+L117+L118+L119+L121+L122+L128+L127</f>
        <v>0</v>
      </c>
      <c r="M115" s="66">
        <f>+M116+M117+M118+M119+M121+M122+M124+M127+M128</f>
        <v>0</v>
      </c>
      <c r="N115" s="66">
        <f>+N116+N117+N118+N119+N121+N122+N128+N127</f>
        <v>0</v>
      </c>
      <c r="O115" s="66">
        <f>+O116+O117+O118+O119+O121+O122+O128+O127</f>
        <v>0</v>
      </c>
      <c r="P115" s="66">
        <f>+P116+P117+P118+P119+P121+P122+P124+P127+P128</f>
        <v>0</v>
      </c>
      <c r="Q115" s="70">
        <f>SUM(E115:P115)</f>
        <v>52040216.940000005</v>
      </c>
      <c r="R115" s="71">
        <f>+Q115/C115</f>
        <v>0.8318316033950864</v>
      </c>
      <c r="S115" s="70">
        <f aca="true" t="shared" si="46" ref="S115:S139">+C115-Q115</f>
        <v>10520783.059999995</v>
      </c>
      <c r="T115" s="71">
        <f aca="true" t="shared" si="47" ref="T115:T139">+S115/C115</f>
        <v>0.16816839660491353</v>
      </c>
      <c r="U115" s="70">
        <f>+U116+U117+U118+U119+U121+U122+U124+U126+U127+U128</f>
        <v>11922388.059999999</v>
      </c>
      <c r="V115" s="68">
        <f>+U115/C115</f>
        <v>0.190572210482569</v>
      </c>
    </row>
    <row r="116" spans="1:28" s="3" customFormat="1" ht="15">
      <c r="A116" s="97" t="s">
        <v>98</v>
      </c>
      <c r="B116" s="23" t="s">
        <v>61</v>
      </c>
      <c r="C116" s="38">
        <f>4100000*12-5000000</f>
        <v>44200000</v>
      </c>
      <c r="D116" s="39">
        <v>1400000</v>
      </c>
      <c r="E116" s="39">
        <v>11901824.16</v>
      </c>
      <c r="F116" s="38">
        <v>3295198.81</v>
      </c>
      <c r="G116" s="38">
        <v>4181212.28</v>
      </c>
      <c r="H116" s="38">
        <v>3882698.5</v>
      </c>
      <c r="I116" s="38">
        <v>4164794.44</v>
      </c>
      <c r="J116" s="38">
        <v>4728448.39</v>
      </c>
      <c r="K116" s="38">
        <v>4728159.3</v>
      </c>
      <c r="L116" s="38"/>
      <c r="M116" s="38"/>
      <c r="N116" s="38"/>
      <c r="O116" s="38"/>
      <c r="P116" s="38"/>
      <c r="Q116" s="87">
        <f aca="true" t="shared" si="48" ref="Q116:Q139">SUM(E116:P116)</f>
        <v>36882335.88</v>
      </c>
      <c r="R116" s="88">
        <f>+Q116/(D116+C116)</f>
        <v>0.808823155263158</v>
      </c>
      <c r="S116" s="87">
        <f t="shared" si="46"/>
        <v>7317664.119999997</v>
      </c>
      <c r="T116" s="88">
        <f t="shared" si="47"/>
        <v>0.16555801176470583</v>
      </c>
      <c r="U116" s="87">
        <f aca="true" t="shared" si="49" ref="U116:U139">+C116+D116-Q116</f>
        <v>8717664.119999997</v>
      </c>
      <c r="V116" s="88">
        <f>+U116/C116</f>
        <v>0.1972322199095022</v>
      </c>
      <c r="AB116" s="2"/>
    </row>
    <row r="117" spans="1:28" s="3" customFormat="1" ht="15">
      <c r="A117" s="97" t="s">
        <v>99</v>
      </c>
      <c r="B117" s="23" t="s">
        <v>62</v>
      </c>
      <c r="C117" s="38">
        <f>800000*12+5000000</f>
        <v>14600000</v>
      </c>
      <c r="D117" s="39"/>
      <c r="E117" s="39">
        <v>3800360.21</v>
      </c>
      <c r="F117" s="38">
        <v>1701392.82</v>
      </c>
      <c r="G117" s="38">
        <v>1680689.46</v>
      </c>
      <c r="H117" s="38">
        <v>1188573.12</v>
      </c>
      <c r="I117" s="38">
        <v>1838513.05</v>
      </c>
      <c r="J117" s="38">
        <v>1889560.5</v>
      </c>
      <c r="K117" s="38">
        <v>1787859.13</v>
      </c>
      <c r="L117" s="38"/>
      <c r="M117" s="38"/>
      <c r="N117" s="38"/>
      <c r="O117" s="38"/>
      <c r="P117" s="38"/>
      <c r="Q117" s="87">
        <f t="shared" si="48"/>
        <v>13886948.29</v>
      </c>
      <c r="R117" s="88">
        <f>+Q117/(D117+C117)</f>
        <v>0.9511608417808218</v>
      </c>
      <c r="S117" s="87">
        <f t="shared" si="46"/>
        <v>713051.7100000009</v>
      </c>
      <c r="T117" s="88">
        <f t="shared" si="47"/>
        <v>0.04883915821917814</v>
      </c>
      <c r="U117" s="87">
        <f t="shared" si="49"/>
        <v>713051.7100000009</v>
      </c>
      <c r="V117" s="88">
        <f>+U117/C117</f>
        <v>0.04883915821917814</v>
      </c>
      <c r="AB117" s="2"/>
    </row>
    <row r="118" spans="1:28" s="3" customFormat="1" ht="15">
      <c r="A118" s="97" t="s">
        <v>100</v>
      </c>
      <c r="B118" s="23" t="s">
        <v>63</v>
      </c>
      <c r="C118" s="38">
        <f>100000*12</f>
        <v>1200000</v>
      </c>
      <c r="D118" s="39"/>
      <c r="E118" s="39">
        <v>28993</v>
      </c>
      <c r="F118" s="38">
        <v>26280</v>
      </c>
      <c r="G118" s="38">
        <v>0</v>
      </c>
      <c r="H118" s="38">
        <v>37938</v>
      </c>
      <c r="I118" s="38">
        <v>32472</v>
      </c>
      <c r="J118" s="38">
        <v>3500</v>
      </c>
      <c r="K118" s="38">
        <v>72738.69</v>
      </c>
      <c r="L118" s="38"/>
      <c r="M118" s="38"/>
      <c r="N118" s="38"/>
      <c r="O118" s="38"/>
      <c r="P118" s="38"/>
      <c r="Q118" s="87">
        <f t="shared" si="48"/>
        <v>201921.69</v>
      </c>
      <c r="R118" s="88">
        <v>0</v>
      </c>
      <c r="S118" s="87">
        <f t="shared" si="46"/>
        <v>998078.31</v>
      </c>
      <c r="T118" s="88">
        <f t="shared" si="47"/>
        <v>0.831731925</v>
      </c>
      <c r="U118" s="87">
        <f t="shared" si="49"/>
        <v>998078.31</v>
      </c>
      <c r="V118" s="88">
        <f>+U118/C118</f>
        <v>0.831731925</v>
      </c>
      <c r="AB118" s="2"/>
    </row>
    <row r="119" spans="1:29" s="7" customFormat="1" ht="15">
      <c r="A119" s="128" t="s">
        <v>130</v>
      </c>
      <c r="B119" s="23" t="s">
        <v>64</v>
      </c>
      <c r="C119" s="38">
        <v>1000</v>
      </c>
      <c r="D119" s="39"/>
      <c r="E119" s="39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279</v>
      </c>
      <c r="L119" s="38"/>
      <c r="M119" s="38"/>
      <c r="N119" s="38"/>
      <c r="O119" s="38"/>
      <c r="P119" s="38"/>
      <c r="Q119" s="87">
        <f t="shared" si="48"/>
        <v>279</v>
      </c>
      <c r="R119" s="88">
        <f aca="true" t="shared" si="50" ref="R119:R128">+Q119/C119</f>
        <v>0.279</v>
      </c>
      <c r="S119" s="87">
        <f t="shared" si="46"/>
        <v>721</v>
      </c>
      <c r="T119" s="88">
        <f t="shared" si="47"/>
        <v>0.721</v>
      </c>
      <c r="U119" s="87">
        <f t="shared" si="49"/>
        <v>721</v>
      </c>
      <c r="V119" s="88">
        <f aca="true" t="shared" si="51" ref="V119:V128">+U119/C119</f>
        <v>0.721</v>
      </c>
      <c r="W119" s="3"/>
      <c r="X119" s="3"/>
      <c r="Y119" s="3"/>
      <c r="Z119" s="3"/>
      <c r="AA119" s="3"/>
      <c r="AB119" s="2"/>
      <c r="AC119" s="2"/>
    </row>
    <row r="120" spans="1:29" s="7" customFormat="1" ht="15" hidden="1">
      <c r="A120" s="97" t="s">
        <v>130</v>
      </c>
      <c r="B120" s="23" t="s">
        <v>64</v>
      </c>
      <c r="C120" s="38"/>
      <c r="D120" s="39"/>
      <c r="E120" s="39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87">
        <f t="shared" si="48"/>
        <v>0</v>
      </c>
      <c r="R120" s="88" t="e">
        <f t="shared" si="50"/>
        <v>#DIV/0!</v>
      </c>
      <c r="S120" s="87">
        <f t="shared" si="46"/>
        <v>0</v>
      </c>
      <c r="T120" s="88" t="e">
        <f t="shared" si="47"/>
        <v>#DIV/0!</v>
      </c>
      <c r="U120" s="87">
        <f t="shared" si="49"/>
        <v>0</v>
      </c>
      <c r="V120" s="88" t="e">
        <f t="shared" si="51"/>
        <v>#DIV/0!</v>
      </c>
      <c r="W120" s="3"/>
      <c r="X120" s="3"/>
      <c r="Y120" s="3"/>
      <c r="Z120" s="3"/>
      <c r="AA120" s="3"/>
      <c r="AB120" s="2"/>
      <c r="AC120" s="2"/>
    </row>
    <row r="121" spans="1:29" s="7" customFormat="1" ht="15">
      <c r="A121" s="97" t="s">
        <v>101</v>
      </c>
      <c r="B121" s="23" t="s">
        <v>65</v>
      </c>
      <c r="C121" s="38">
        <f>100000*12</f>
        <v>1200000</v>
      </c>
      <c r="D121" s="39"/>
      <c r="E121" s="39">
        <v>57806.04</v>
      </c>
      <c r="F121" s="38">
        <v>56949.7</v>
      </c>
      <c r="G121" s="38">
        <v>58253.07</v>
      </c>
      <c r="H121" s="38">
        <v>56274.63</v>
      </c>
      <c r="I121" s="38">
        <v>697515.73</v>
      </c>
      <c r="J121" s="38">
        <v>55012.1</v>
      </c>
      <c r="K121" s="38">
        <v>54439.83</v>
      </c>
      <c r="L121" s="38"/>
      <c r="M121" s="38"/>
      <c r="N121" s="38"/>
      <c r="O121" s="38"/>
      <c r="P121" s="38"/>
      <c r="Q121" s="87">
        <f t="shared" si="48"/>
        <v>1036251.0999999999</v>
      </c>
      <c r="R121" s="88">
        <f t="shared" si="50"/>
        <v>0.8635425833333332</v>
      </c>
      <c r="S121" s="87">
        <f t="shared" si="46"/>
        <v>163748.90000000014</v>
      </c>
      <c r="T121" s="88">
        <f t="shared" si="47"/>
        <v>0.13645741666666678</v>
      </c>
      <c r="U121" s="87">
        <f t="shared" si="49"/>
        <v>163748.90000000014</v>
      </c>
      <c r="V121" s="88">
        <f t="shared" si="51"/>
        <v>0.13645741666666678</v>
      </c>
      <c r="W121" s="3"/>
      <c r="X121" s="3"/>
      <c r="Y121" s="3"/>
      <c r="Z121" s="3"/>
      <c r="AA121" s="3"/>
      <c r="AB121" s="2"/>
      <c r="AC121" s="2"/>
    </row>
    <row r="122" spans="1:29" s="7" customFormat="1" ht="15">
      <c r="A122" s="32" t="s">
        <v>131</v>
      </c>
      <c r="B122" s="23" t="s">
        <v>132</v>
      </c>
      <c r="C122" s="38">
        <v>100000</v>
      </c>
      <c r="D122" s="39"/>
      <c r="E122" s="39">
        <v>0</v>
      </c>
      <c r="F122" s="38">
        <v>1400</v>
      </c>
      <c r="G122" s="38">
        <v>5656</v>
      </c>
      <c r="H122" s="38">
        <v>0</v>
      </c>
      <c r="I122" s="38">
        <v>0</v>
      </c>
      <c r="J122" s="38">
        <v>0</v>
      </c>
      <c r="K122" s="38">
        <v>0</v>
      </c>
      <c r="L122" s="38"/>
      <c r="M122" s="38"/>
      <c r="N122" s="38"/>
      <c r="O122" s="38"/>
      <c r="P122" s="38"/>
      <c r="Q122" s="87">
        <f t="shared" si="48"/>
        <v>7056</v>
      </c>
      <c r="R122" s="88">
        <f t="shared" si="50"/>
        <v>0.07056</v>
      </c>
      <c r="S122" s="87">
        <f t="shared" si="46"/>
        <v>92944</v>
      </c>
      <c r="T122" s="88">
        <f t="shared" si="47"/>
        <v>0.92944</v>
      </c>
      <c r="U122" s="87">
        <f t="shared" si="49"/>
        <v>92944</v>
      </c>
      <c r="V122" s="88">
        <f t="shared" si="51"/>
        <v>0.92944</v>
      </c>
      <c r="W122" s="3"/>
      <c r="X122" s="3"/>
      <c r="Y122" s="3"/>
      <c r="Z122" s="3"/>
      <c r="AA122" s="3"/>
      <c r="AB122" s="2"/>
      <c r="AC122" s="2"/>
    </row>
    <row r="123" spans="1:29" s="7" customFormat="1" ht="30" hidden="1">
      <c r="A123" s="83" t="s">
        <v>102</v>
      </c>
      <c r="B123" s="28" t="s">
        <v>173</v>
      </c>
      <c r="C123" s="38"/>
      <c r="D123" s="39"/>
      <c r="E123" s="39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87">
        <f t="shared" si="48"/>
        <v>0</v>
      </c>
      <c r="R123" s="88" t="e">
        <f t="shared" si="50"/>
        <v>#DIV/0!</v>
      </c>
      <c r="S123" s="87">
        <f t="shared" si="46"/>
        <v>0</v>
      </c>
      <c r="T123" s="88" t="e">
        <f t="shared" si="47"/>
        <v>#DIV/0!</v>
      </c>
      <c r="U123" s="87">
        <f t="shared" si="49"/>
        <v>0</v>
      </c>
      <c r="V123" s="88" t="e">
        <f t="shared" si="51"/>
        <v>#DIV/0!</v>
      </c>
      <c r="W123" s="3"/>
      <c r="X123" s="3"/>
      <c r="Y123" s="3"/>
      <c r="Z123" s="3"/>
      <c r="AA123" s="3"/>
      <c r="AB123" s="2"/>
      <c r="AC123" s="2"/>
    </row>
    <row r="124" spans="1:29" s="7" customFormat="1" ht="30">
      <c r="A124" s="83" t="s">
        <v>218</v>
      </c>
      <c r="B124" s="28" t="s">
        <v>219</v>
      </c>
      <c r="C124" s="38">
        <v>10000</v>
      </c>
      <c r="D124" s="39"/>
      <c r="E124" s="39">
        <v>0</v>
      </c>
      <c r="F124" s="38">
        <v>0</v>
      </c>
      <c r="G124" s="38">
        <v>1132.32</v>
      </c>
      <c r="H124" s="38">
        <v>368</v>
      </c>
      <c r="I124" s="38">
        <v>0</v>
      </c>
      <c r="J124" s="38">
        <v>0</v>
      </c>
      <c r="K124" s="38">
        <v>0</v>
      </c>
      <c r="L124" s="38"/>
      <c r="M124" s="38"/>
      <c r="N124" s="38"/>
      <c r="O124" s="38"/>
      <c r="P124" s="38"/>
      <c r="Q124" s="87">
        <f t="shared" si="48"/>
        <v>1500.32</v>
      </c>
      <c r="R124" s="88">
        <f t="shared" si="50"/>
        <v>0.150032</v>
      </c>
      <c r="S124" s="87">
        <f t="shared" si="46"/>
        <v>8499.68</v>
      </c>
      <c r="T124" s="88">
        <f t="shared" si="47"/>
        <v>0.8499680000000001</v>
      </c>
      <c r="U124" s="87">
        <f t="shared" si="49"/>
        <v>8499.68</v>
      </c>
      <c r="V124" s="88">
        <f t="shared" si="51"/>
        <v>0.8499680000000001</v>
      </c>
      <c r="W124" s="3"/>
      <c r="X124" s="3"/>
      <c r="Y124" s="3"/>
      <c r="Z124" s="3"/>
      <c r="AA124" s="3"/>
      <c r="AB124" s="2"/>
      <c r="AC124" s="2"/>
    </row>
    <row r="125" spans="1:29" s="7" customFormat="1" ht="15">
      <c r="A125" s="83" t="s">
        <v>337</v>
      </c>
      <c r="B125" s="30" t="s">
        <v>338</v>
      </c>
      <c r="C125" s="38">
        <v>1000</v>
      </c>
      <c r="D125" s="39"/>
      <c r="E125" s="39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605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87">
        <f>SUM(E125:P125)</f>
        <v>605</v>
      </c>
      <c r="R125" s="88">
        <f>+Q125/C125</f>
        <v>0.605</v>
      </c>
      <c r="S125" s="87">
        <f>+C125-Q125</f>
        <v>395</v>
      </c>
      <c r="T125" s="88">
        <f>+S125/C125</f>
        <v>0.395</v>
      </c>
      <c r="U125" s="87">
        <f>+C125+D125-Q125</f>
        <v>395</v>
      </c>
      <c r="V125" s="88">
        <f>+U125/C125</f>
        <v>0.395</v>
      </c>
      <c r="W125" s="3"/>
      <c r="X125" s="3"/>
      <c r="Y125" s="3"/>
      <c r="Z125" s="3"/>
      <c r="AA125" s="3"/>
      <c r="AB125" s="2"/>
      <c r="AC125" s="2"/>
    </row>
    <row r="126" spans="1:29" s="7" customFormat="1" ht="15">
      <c r="A126" s="83" t="s">
        <v>333</v>
      </c>
      <c r="B126" s="30" t="s">
        <v>334</v>
      </c>
      <c r="C126" s="38">
        <v>1000</v>
      </c>
      <c r="D126" s="39"/>
      <c r="E126" s="39">
        <v>0</v>
      </c>
      <c r="F126" s="38">
        <v>0</v>
      </c>
      <c r="G126" s="38">
        <v>0</v>
      </c>
      <c r="H126" s="38">
        <v>0</v>
      </c>
      <c r="I126" s="38">
        <v>300</v>
      </c>
      <c r="J126" s="38">
        <v>0</v>
      </c>
      <c r="K126" s="38">
        <v>0</v>
      </c>
      <c r="L126" s="38"/>
      <c r="M126" s="38"/>
      <c r="N126" s="38"/>
      <c r="O126" s="38"/>
      <c r="P126" s="38"/>
      <c r="Q126" s="87">
        <f>SUM(E126:P126)</f>
        <v>300</v>
      </c>
      <c r="R126" s="88">
        <f>+Q126/C126</f>
        <v>0.3</v>
      </c>
      <c r="S126" s="87">
        <f>+C126-Q126</f>
        <v>700</v>
      </c>
      <c r="T126" s="88">
        <f>+S126/C126</f>
        <v>0.7</v>
      </c>
      <c r="U126" s="87">
        <f>+C126+D126-Q126</f>
        <v>700</v>
      </c>
      <c r="V126" s="88">
        <f>+U126/C126</f>
        <v>0.7</v>
      </c>
      <c r="W126" s="3"/>
      <c r="X126" s="3"/>
      <c r="Y126" s="3"/>
      <c r="Z126" s="3"/>
      <c r="AA126" s="3"/>
      <c r="AB126" s="2"/>
      <c r="AC126" s="2"/>
    </row>
    <row r="127" spans="1:29" s="7" customFormat="1" ht="30">
      <c r="A127" s="83" t="s">
        <v>102</v>
      </c>
      <c r="B127" s="30" t="s">
        <v>173</v>
      </c>
      <c r="C127" s="38">
        <f>100000*12</f>
        <v>1200000</v>
      </c>
      <c r="D127" s="39"/>
      <c r="E127" s="39">
        <v>552</v>
      </c>
      <c r="F127" s="38">
        <v>2055</v>
      </c>
      <c r="G127" s="38">
        <v>2000</v>
      </c>
      <c r="H127" s="38">
        <v>1050</v>
      </c>
      <c r="I127" s="38">
        <v>4701.99</v>
      </c>
      <c r="J127" s="38">
        <v>1219.99</v>
      </c>
      <c r="K127" s="38">
        <v>0</v>
      </c>
      <c r="L127" s="38"/>
      <c r="M127" s="38"/>
      <c r="N127" s="38"/>
      <c r="O127" s="38"/>
      <c r="P127" s="38"/>
      <c r="Q127" s="87">
        <f t="shared" si="48"/>
        <v>11578.98</v>
      </c>
      <c r="R127" s="88">
        <f t="shared" si="50"/>
        <v>0.00964915</v>
      </c>
      <c r="S127" s="87">
        <f t="shared" si="46"/>
        <v>1188421.02</v>
      </c>
      <c r="T127" s="88">
        <f t="shared" si="47"/>
        <v>0.99035085</v>
      </c>
      <c r="U127" s="87">
        <f t="shared" si="49"/>
        <v>1188421.02</v>
      </c>
      <c r="V127" s="88">
        <f t="shared" si="51"/>
        <v>0.99035085</v>
      </c>
      <c r="W127" s="3"/>
      <c r="X127" s="3"/>
      <c r="Y127" s="3"/>
      <c r="Z127" s="3"/>
      <c r="AA127" s="3"/>
      <c r="AB127" s="2"/>
      <c r="AC127" s="2"/>
    </row>
    <row r="128" spans="1:29" s="7" customFormat="1" ht="15">
      <c r="A128" s="83" t="s">
        <v>126</v>
      </c>
      <c r="B128" s="28" t="s">
        <v>139</v>
      </c>
      <c r="C128" s="38">
        <v>50000</v>
      </c>
      <c r="D128" s="39"/>
      <c r="E128" s="39">
        <v>2058.22</v>
      </c>
      <c r="F128" s="38">
        <v>300</v>
      </c>
      <c r="G128" s="38">
        <v>1376</v>
      </c>
      <c r="H128" s="38">
        <v>1730.46</v>
      </c>
      <c r="I128" s="38">
        <v>1776</v>
      </c>
      <c r="J128" s="38">
        <v>2699.98</v>
      </c>
      <c r="K128" s="38">
        <v>1500.02</v>
      </c>
      <c r="L128" s="38"/>
      <c r="M128" s="38"/>
      <c r="N128" s="38"/>
      <c r="O128" s="38"/>
      <c r="P128" s="38"/>
      <c r="Q128" s="87">
        <f t="shared" si="48"/>
        <v>11440.68</v>
      </c>
      <c r="R128" s="88">
        <f t="shared" si="50"/>
        <v>0.2288136</v>
      </c>
      <c r="S128" s="87">
        <f t="shared" si="46"/>
        <v>38559.32</v>
      </c>
      <c r="T128" s="88">
        <f t="shared" si="47"/>
        <v>0.7711864</v>
      </c>
      <c r="U128" s="87">
        <f t="shared" si="49"/>
        <v>38559.32</v>
      </c>
      <c r="V128" s="88">
        <f t="shared" si="51"/>
        <v>0.7711864</v>
      </c>
      <c r="W128" s="3"/>
      <c r="X128" s="3"/>
      <c r="Y128" s="3"/>
      <c r="Z128" s="3"/>
      <c r="AA128" s="3"/>
      <c r="AB128" s="2"/>
      <c r="AC128" s="2"/>
    </row>
    <row r="129" spans="1:29" s="7" customFormat="1" ht="15">
      <c r="A129" s="20" t="s">
        <v>66</v>
      </c>
      <c r="B129" s="8" t="s">
        <v>271</v>
      </c>
      <c r="C129" s="66">
        <f>+C130+C131+C132+C133+C134+C135+C136+C138+C139</f>
        <v>10760000</v>
      </c>
      <c r="D129" s="66">
        <f>+D130+D131+D132+D133+D134+D135+D136+D138+D139</f>
        <v>0</v>
      </c>
      <c r="E129" s="66">
        <f>+E130+E131+E132+E133+E134+E135+E136+E138+E139</f>
        <v>10629.99</v>
      </c>
      <c r="F129" s="66">
        <f>+F130+F131+F132+F133+F134+F135+F136+F137+F138+F139</f>
        <v>1156585.8</v>
      </c>
      <c r="G129" s="66">
        <f>+G130+G131+G132+G133+G134+G135+G136+G138+G139</f>
        <v>892848.58</v>
      </c>
      <c r="H129" s="66">
        <f>+H130+H131+H132+H133+H134+H135+H136+H138+H139</f>
        <v>837286.6599999999</v>
      </c>
      <c r="I129" s="66">
        <f aca="true" t="shared" si="52" ref="I129:P129">+I130+I131+I133+I134+I135+I136+I138+I139</f>
        <v>989512.2600000001</v>
      </c>
      <c r="J129" s="66">
        <f t="shared" si="52"/>
        <v>18534.09</v>
      </c>
      <c r="K129" s="66">
        <f t="shared" si="52"/>
        <v>111572.51</v>
      </c>
      <c r="L129" s="66">
        <f t="shared" si="52"/>
        <v>0</v>
      </c>
      <c r="M129" s="66">
        <f t="shared" si="52"/>
        <v>0</v>
      </c>
      <c r="N129" s="66">
        <f t="shared" si="52"/>
        <v>0</v>
      </c>
      <c r="O129" s="66">
        <f t="shared" si="52"/>
        <v>0</v>
      </c>
      <c r="P129" s="66">
        <f t="shared" si="52"/>
        <v>0</v>
      </c>
      <c r="Q129" s="70">
        <f>SUM(E129:P129)</f>
        <v>4016969.89</v>
      </c>
      <c r="R129" s="71">
        <f>+Q129/(C129+D129)</f>
        <v>0.3733243392193309</v>
      </c>
      <c r="S129" s="70">
        <f t="shared" si="46"/>
        <v>6743030.109999999</v>
      </c>
      <c r="T129" s="71">
        <f t="shared" si="47"/>
        <v>0.626675660780669</v>
      </c>
      <c r="U129" s="70">
        <f>+U130+U131+U132+U133+U134+U135+U136+U137+U138+U139</f>
        <v>6773030.11</v>
      </c>
      <c r="V129" s="71">
        <f aca="true" t="shared" si="53" ref="V129:V139">+U129/C129</f>
        <v>0.6294637648698885</v>
      </c>
      <c r="W129" s="3"/>
      <c r="X129" s="3"/>
      <c r="Y129" s="3"/>
      <c r="Z129" s="3"/>
      <c r="AA129" s="3"/>
      <c r="AB129" s="2"/>
      <c r="AC129" s="2"/>
    </row>
    <row r="130" spans="1:29" s="7" customFormat="1" ht="15">
      <c r="A130" s="95" t="s">
        <v>103</v>
      </c>
      <c r="B130" s="23" t="s">
        <v>290</v>
      </c>
      <c r="C130" s="38">
        <f>300000*12</f>
        <v>3600000</v>
      </c>
      <c r="D130" s="39"/>
      <c r="E130" s="39">
        <v>0</v>
      </c>
      <c r="F130" s="38">
        <v>0</v>
      </c>
      <c r="G130" s="38">
        <v>0</v>
      </c>
      <c r="H130" s="38">
        <v>416</v>
      </c>
      <c r="I130" s="38">
        <v>625028.3</v>
      </c>
      <c r="J130" s="38">
        <v>1350</v>
      </c>
      <c r="K130" s="38">
        <v>0</v>
      </c>
      <c r="L130" s="38"/>
      <c r="M130" s="38"/>
      <c r="N130" s="38"/>
      <c r="O130" s="38"/>
      <c r="P130" s="38"/>
      <c r="Q130" s="87">
        <f t="shared" si="48"/>
        <v>626794.3</v>
      </c>
      <c r="R130" s="88">
        <f aca="true" t="shared" si="54" ref="R130:R139">+Q130/C130</f>
        <v>0.1741095277777778</v>
      </c>
      <c r="S130" s="87">
        <f t="shared" si="46"/>
        <v>2973205.7</v>
      </c>
      <c r="T130" s="88">
        <f t="shared" si="47"/>
        <v>0.8258904722222222</v>
      </c>
      <c r="U130" s="87">
        <f t="shared" si="49"/>
        <v>2973205.7</v>
      </c>
      <c r="V130" s="88">
        <f t="shared" si="53"/>
        <v>0.8258904722222222</v>
      </c>
      <c r="W130" s="3"/>
      <c r="X130" s="3"/>
      <c r="Y130" s="3"/>
      <c r="Z130" s="3"/>
      <c r="AA130" s="3"/>
      <c r="AB130" s="2"/>
      <c r="AC130" s="2"/>
    </row>
    <row r="131" spans="1:29" s="7" customFormat="1" ht="33.75" customHeight="1">
      <c r="A131" s="94" t="s">
        <v>104</v>
      </c>
      <c r="B131" s="28" t="s">
        <v>174</v>
      </c>
      <c r="C131" s="38">
        <f>330000*12</f>
        <v>3960000</v>
      </c>
      <c r="D131" s="39"/>
      <c r="E131" s="39">
        <v>0</v>
      </c>
      <c r="F131" s="38">
        <v>370520</v>
      </c>
      <c r="G131" s="38">
        <v>768906.13</v>
      </c>
      <c r="H131" s="38">
        <v>827665.2</v>
      </c>
      <c r="I131" s="38">
        <v>0</v>
      </c>
      <c r="J131" s="38">
        <v>15740</v>
      </c>
      <c r="K131" s="38">
        <v>0</v>
      </c>
      <c r="L131" s="38"/>
      <c r="M131" s="38"/>
      <c r="N131" s="38"/>
      <c r="O131" s="38"/>
      <c r="P131" s="38"/>
      <c r="Q131" s="87">
        <f t="shared" si="48"/>
        <v>1982831.3299999998</v>
      </c>
      <c r="R131" s="88">
        <f t="shared" si="54"/>
        <v>0.5007149823232323</v>
      </c>
      <c r="S131" s="87">
        <f t="shared" si="46"/>
        <v>1977168.6700000002</v>
      </c>
      <c r="T131" s="88">
        <f t="shared" si="47"/>
        <v>0.4992850176767677</v>
      </c>
      <c r="U131" s="87">
        <f t="shared" si="49"/>
        <v>1977168.6700000002</v>
      </c>
      <c r="V131" s="88">
        <f t="shared" si="53"/>
        <v>0.4992850176767677</v>
      </c>
      <c r="W131" s="3"/>
      <c r="X131" s="3"/>
      <c r="Y131" s="3"/>
      <c r="Z131" s="3"/>
      <c r="AA131" s="3"/>
      <c r="AB131" s="2"/>
      <c r="AC131" s="2"/>
    </row>
    <row r="132" spans="1:29" s="7" customFormat="1" ht="30">
      <c r="A132" s="94" t="s">
        <v>235</v>
      </c>
      <c r="B132" s="28" t="s">
        <v>236</v>
      </c>
      <c r="C132" s="38">
        <v>50000</v>
      </c>
      <c r="D132" s="39"/>
      <c r="E132" s="39">
        <v>2704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/>
      <c r="M132" s="38"/>
      <c r="N132" s="38"/>
      <c r="O132" s="38"/>
      <c r="P132" s="38"/>
      <c r="Q132" s="87">
        <f t="shared" si="48"/>
        <v>2704</v>
      </c>
      <c r="R132" s="88">
        <f t="shared" si="54"/>
        <v>0.05408</v>
      </c>
      <c r="S132" s="87">
        <f t="shared" si="46"/>
        <v>47296</v>
      </c>
      <c r="T132" s="88">
        <f t="shared" si="47"/>
        <v>0.94592</v>
      </c>
      <c r="U132" s="87">
        <f t="shared" si="49"/>
        <v>47296</v>
      </c>
      <c r="V132" s="88">
        <f t="shared" si="53"/>
        <v>0.94592</v>
      </c>
      <c r="W132" s="3"/>
      <c r="X132" s="3"/>
      <c r="Y132" s="3"/>
      <c r="Z132" s="3"/>
      <c r="AA132" s="3"/>
      <c r="AB132" s="2"/>
      <c r="AC132" s="2"/>
    </row>
    <row r="133" spans="1:29" s="7" customFormat="1" ht="30">
      <c r="A133" s="94" t="s">
        <v>127</v>
      </c>
      <c r="B133" s="28" t="s">
        <v>171</v>
      </c>
      <c r="C133" s="38">
        <f>20000+200000</f>
        <v>220000</v>
      </c>
      <c r="D133" s="39"/>
      <c r="E133" s="39">
        <v>442</v>
      </c>
      <c r="F133" s="38">
        <v>0</v>
      </c>
      <c r="G133" s="38">
        <v>0</v>
      </c>
      <c r="H133" s="38">
        <v>0</v>
      </c>
      <c r="I133" s="38">
        <v>200182.55</v>
      </c>
      <c r="J133" s="38">
        <v>0</v>
      </c>
      <c r="K133" s="38">
        <v>0</v>
      </c>
      <c r="L133" s="38"/>
      <c r="M133" s="38"/>
      <c r="N133" s="38"/>
      <c r="O133" s="38"/>
      <c r="P133" s="38"/>
      <c r="Q133" s="87">
        <f t="shared" si="48"/>
        <v>200624.55</v>
      </c>
      <c r="R133" s="88">
        <f t="shared" si="54"/>
        <v>0.9119297727272727</v>
      </c>
      <c r="S133" s="87">
        <f t="shared" si="46"/>
        <v>19375.45000000001</v>
      </c>
      <c r="T133" s="88">
        <f t="shared" si="47"/>
        <v>0.08807022727272733</v>
      </c>
      <c r="U133" s="87">
        <f t="shared" si="49"/>
        <v>19375.45000000001</v>
      </c>
      <c r="V133" s="88">
        <f t="shared" si="53"/>
        <v>0.08807022727272733</v>
      </c>
      <c r="W133" s="3"/>
      <c r="X133" s="3"/>
      <c r="Y133" s="3"/>
      <c r="Z133" s="3"/>
      <c r="AA133" s="3"/>
      <c r="AB133" s="2"/>
      <c r="AC133" s="2"/>
    </row>
    <row r="134" spans="1:29" s="7" customFormat="1" ht="30">
      <c r="A134" s="94" t="s">
        <v>105</v>
      </c>
      <c r="B134" s="28" t="s">
        <v>184</v>
      </c>
      <c r="C134" s="38">
        <f>150000*12</f>
        <v>1800000</v>
      </c>
      <c r="D134" s="39"/>
      <c r="E134" s="39">
        <v>0</v>
      </c>
      <c r="F134" s="38">
        <v>512810.08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/>
      <c r="M134" s="38"/>
      <c r="N134" s="38"/>
      <c r="O134" s="38"/>
      <c r="P134" s="38"/>
      <c r="Q134" s="87">
        <f t="shared" si="48"/>
        <v>512810.08</v>
      </c>
      <c r="R134" s="88">
        <f t="shared" si="54"/>
        <v>0.2848944888888889</v>
      </c>
      <c r="S134" s="87">
        <f t="shared" si="46"/>
        <v>1287189.92</v>
      </c>
      <c r="T134" s="88">
        <f t="shared" si="47"/>
        <v>0.7151055111111111</v>
      </c>
      <c r="U134" s="87">
        <f t="shared" si="49"/>
        <v>1287189.92</v>
      </c>
      <c r="V134" s="88">
        <f t="shared" si="53"/>
        <v>0.7151055111111111</v>
      </c>
      <c r="W134" s="3"/>
      <c r="X134" s="3"/>
      <c r="Y134" s="3"/>
      <c r="Z134" s="3"/>
      <c r="AA134" s="3"/>
      <c r="AB134" s="2"/>
      <c r="AC134" s="2"/>
    </row>
    <row r="135" spans="1:29" s="7" customFormat="1" ht="15">
      <c r="A135" s="94" t="s">
        <v>106</v>
      </c>
      <c r="B135" s="28" t="s">
        <v>185</v>
      </c>
      <c r="C135" s="38">
        <f>40000*12</f>
        <v>480000</v>
      </c>
      <c r="D135" s="39"/>
      <c r="E135" s="39">
        <v>0</v>
      </c>
      <c r="F135" s="38">
        <v>91686</v>
      </c>
      <c r="G135" s="38">
        <v>0</v>
      </c>
      <c r="H135" s="38">
        <v>0</v>
      </c>
      <c r="I135" s="38">
        <v>163701.4</v>
      </c>
      <c r="J135" s="38">
        <v>0</v>
      </c>
      <c r="K135" s="38">
        <v>580.01</v>
      </c>
      <c r="L135" s="38"/>
      <c r="M135" s="38"/>
      <c r="N135" s="38"/>
      <c r="O135" s="38"/>
      <c r="P135" s="38"/>
      <c r="Q135" s="87">
        <f t="shared" si="48"/>
        <v>255967.41</v>
      </c>
      <c r="R135" s="88">
        <f t="shared" si="54"/>
        <v>0.5332654375</v>
      </c>
      <c r="S135" s="87">
        <f t="shared" si="46"/>
        <v>224032.59</v>
      </c>
      <c r="T135" s="88">
        <f t="shared" si="47"/>
        <v>0.4667345625</v>
      </c>
      <c r="U135" s="87">
        <f t="shared" si="49"/>
        <v>224032.59</v>
      </c>
      <c r="V135" s="88">
        <f t="shared" si="53"/>
        <v>0.4667345625</v>
      </c>
      <c r="W135" s="3"/>
      <c r="X135" s="3"/>
      <c r="Y135" s="3"/>
      <c r="Z135" s="3"/>
      <c r="AA135" s="3"/>
      <c r="AB135" s="2"/>
      <c r="AC135" s="2"/>
    </row>
    <row r="136" spans="1:29" s="7" customFormat="1" ht="15">
      <c r="A136" s="94" t="s">
        <v>107</v>
      </c>
      <c r="B136" s="28" t="s">
        <v>67</v>
      </c>
      <c r="C136" s="38">
        <f>50000*12-150000</f>
        <v>450000</v>
      </c>
      <c r="D136" s="39"/>
      <c r="E136" s="39">
        <v>3023.99</v>
      </c>
      <c r="F136" s="38">
        <v>160472.92</v>
      </c>
      <c r="G136" s="38">
        <v>114869.46</v>
      </c>
      <c r="H136" s="38">
        <v>175</v>
      </c>
      <c r="I136" s="38">
        <v>600.01</v>
      </c>
      <c r="J136" s="38">
        <v>1444.09</v>
      </c>
      <c r="K136" s="38">
        <v>4449.5</v>
      </c>
      <c r="L136" s="38"/>
      <c r="M136" s="38"/>
      <c r="N136" s="38"/>
      <c r="O136" s="38"/>
      <c r="P136" s="38"/>
      <c r="Q136" s="87">
        <f t="shared" si="48"/>
        <v>285034.97000000003</v>
      </c>
      <c r="R136" s="88">
        <f t="shared" si="54"/>
        <v>0.6334110444444445</v>
      </c>
      <c r="S136" s="87">
        <f t="shared" si="46"/>
        <v>164965.02999999997</v>
      </c>
      <c r="T136" s="88">
        <f t="shared" si="47"/>
        <v>0.3665889555555555</v>
      </c>
      <c r="U136" s="87">
        <f t="shared" si="49"/>
        <v>164965.02999999997</v>
      </c>
      <c r="V136" s="88">
        <f t="shared" si="53"/>
        <v>0.3665889555555555</v>
      </c>
      <c r="W136" s="3"/>
      <c r="X136" s="3"/>
      <c r="Y136" s="3"/>
      <c r="Z136" s="3"/>
      <c r="AA136" s="3"/>
      <c r="AB136" s="2"/>
      <c r="AC136" s="2"/>
    </row>
    <row r="137" spans="1:29" s="7" customFormat="1" ht="15">
      <c r="A137" s="124" t="s">
        <v>320</v>
      </c>
      <c r="B137" s="28" t="s">
        <v>319</v>
      </c>
      <c r="C137" s="38">
        <v>30000</v>
      </c>
      <c r="D137" s="39"/>
      <c r="E137" s="39"/>
      <c r="F137" s="38">
        <v>17100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/>
      <c r="M137" s="38"/>
      <c r="N137" s="38"/>
      <c r="O137" s="38"/>
      <c r="P137" s="38"/>
      <c r="Q137" s="87">
        <f>SUM(E137:P137)</f>
        <v>17100</v>
      </c>
      <c r="R137" s="88">
        <f>+Q137/C137</f>
        <v>0.57</v>
      </c>
      <c r="S137" s="87">
        <f>+C137-Q137</f>
        <v>12900</v>
      </c>
      <c r="T137" s="88">
        <f>+S137/C137</f>
        <v>0.43</v>
      </c>
      <c r="U137" s="87">
        <f>+C137+D137-Q137</f>
        <v>12900</v>
      </c>
      <c r="V137" s="88">
        <f>+U137/C137</f>
        <v>0.43</v>
      </c>
      <c r="W137" s="3"/>
      <c r="X137" s="3"/>
      <c r="Y137" s="3"/>
      <c r="Z137" s="3"/>
      <c r="AA137" s="3"/>
      <c r="AB137" s="2"/>
      <c r="AC137" s="2"/>
    </row>
    <row r="138" spans="1:29" s="7" customFormat="1" ht="15">
      <c r="A138" s="94" t="s">
        <v>128</v>
      </c>
      <c r="B138" s="28" t="s">
        <v>140</v>
      </c>
      <c r="C138" s="38">
        <v>50000</v>
      </c>
      <c r="D138" s="39"/>
      <c r="E138" s="39">
        <v>4460</v>
      </c>
      <c r="F138" s="38">
        <v>3996.8</v>
      </c>
      <c r="G138" s="38">
        <v>9072.99</v>
      </c>
      <c r="H138" s="38">
        <v>9030.46</v>
      </c>
      <c r="I138" s="38">
        <v>0</v>
      </c>
      <c r="J138" s="38">
        <v>0</v>
      </c>
      <c r="K138" s="38">
        <v>3883</v>
      </c>
      <c r="L138" s="38"/>
      <c r="M138" s="38"/>
      <c r="N138" s="38"/>
      <c r="O138" s="38"/>
      <c r="P138" s="38"/>
      <c r="Q138" s="87">
        <f t="shared" si="48"/>
        <v>30443.25</v>
      </c>
      <c r="R138" s="88">
        <f t="shared" si="54"/>
        <v>0.608865</v>
      </c>
      <c r="S138" s="87">
        <f t="shared" si="46"/>
        <v>19556.75</v>
      </c>
      <c r="T138" s="88">
        <f t="shared" si="47"/>
        <v>0.391135</v>
      </c>
      <c r="U138" s="87">
        <f t="shared" si="49"/>
        <v>19556.75</v>
      </c>
      <c r="V138" s="88">
        <f t="shared" si="53"/>
        <v>0.391135</v>
      </c>
      <c r="W138" s="3"/>
      <c r="X138" s="3"/>
      <c r="Y138" s="3"/>
      <c r="Z138" s="3"/>
      <c r="AA138" s="3"/>
      <c r="AB138" s="2"/>
      <c r="AC138" s="2"/>
    </row>
    <row r="139" spans="1:29" s="7" customFormat="1" ht="15">
      <c r="A139" s="95" t="s">
        <v>157</v>
      </c>
      <c r="B139" s="23" t="s">
        <v>158</v>
      </c>
      <c r="C139" s="38">
        <v>150000</v>
      </c>
      <c r="D139" s="39"/>
      <c r="E139" s="39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102660</v>
      </c>
      <c r="L139" s="38"/>
      <c r="M139" s="38"/>
      <c r="N139" s="38"/>
      <c r="O139" s="38"/>
      <c r="P139" s="38"/>
      <c r="Q139" s="87">
        <f t="shared" si="48"/>
        <v>102660</v>
      </c>
      <c r="R139" s="88">
        <f t="shared" si="54"/>
        <v>0.6844</v>
      </c>
      <c r="S139" s="87">
        <f t="shared" si="46"/>
        <v>47340</v>
      </c>
      <c r="T139" s="88">
        <f t="shared" si="47"/>
        <v>0.3156</v>
      </c>
      <c r="U139" s="87">
        <f t="shared" si="49"/>
        <v>47340</v>
      </c>
      <c r="V139" s="88">
        <f t="shared" si="53"/>
        <v>0.3156</v>
      </c>
      <c r="W139" s="3"/>
      <c r="X139" s="3"/>
      <c r="Y139" s="3"/>
      <c r="Z139" s="3"/>
      <c r="AA139" s="3"/>
      <c r="AB139" s="2"/>
      <c r="AC139" s="2"/>
    </row>
    <row r="140" spans="1:29" s="7" customFormat="1" ht="15" hidden="1">
      <c r="A140" s="43" t="s">
        <v>68</v>
      </c>
      <c r="B140" s="6" t="s">
        <v>69</v>
      </c>
      <c r="C140" s="3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52"/>
      <c r="R140" s="52"/>
      <c r="S140" s="56"/>
      <c r="T140" s="56"/>
      <c r="U140" s="52"/>
      <c r="V140" s="52"/>
      <c r="W140" s="3"/>
      <c r="X140" s="3"/>
      <c r="Y140" s="3"/>
      <c r="Z140" s="3"/>
      <c r="AA140" s="3"/>
      <c r="AB140" s="2"/>
      <c r="AC140" s="2"/>
    </row>
    <row r="141" spans="1:28" s="3" customFormat="1" ht="15" hidden="1">
      <c r="A141" s="43" t="s">
        <v>70</v>
      </c>
      <c r="B141" s="6" t="s">
        <v>71</v>
      </c>
      <c r="C141" s="3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52"/>
      <c r="R141" s="52"/>
      <c r="S141" s="56"/>
      <c r="T141" s="56"/>
      <c r="U141" s="52"/>
      <c r="V141" s="52"/>
      <c r="AB141" s="2"/>
    </row>
    <row r="142" spans="1:28" s="3" customFormat="1" ht="30">
      <c r="A142" s="86" t="s">
        <v>72</v>
      </c>
      <c r="B142" s="36" t="s">
        <v>272</v>
      </c>
      <c r="C142" s="66">
        <f>+C144+C145+C146+C147+C148+C149+C155+C156+C157</f>
        <v>6666000</v>
      </c>
      <c r="D142" s="66">
        <f>+D144+D145+D146+D147+D148+D149+D155+D156+D157</f>
        <v>0</v>
      </c>
      <c r="E142" s="66">
        <f>+E145+E146+E147+E148+E149+E155+E156+E157</f>
        <v>493409.85</v>
      </c>
      <c r="F142" s="66">
        <f aca="true" t="shared" si="55" ref="F142:M142">+F145+F146+F148+F149+F155+F156+F157</f>
        <v>480703.15</v>
      </c>
      <c r="G142" s="66">
        <f>+G145+G146+G147+G148+G149+G155+G156+G157</f>
        <v>289384</v>
      </c>
      <c r="H142" s="66">
        <f>+H145+H146+H147+H148+H149+H155+H156+H157</f>
        <v>481625</v>
      </c>
      <c r="I142" s="66">
        <f t="shared" si="55"/>
        <v>540517.45</v>
      </c>
      <c r="J142" s="66">
        <f>+J144+J145+J146+J147+J148+J149+J155+J156+J157</f>
        <v>938523.42</v>
      </c>
      <c r="K142" s="66">
        <f>+K144+K145+K146+K148+K149+K155+K157</f>
        <v>1497650.78</v>
      </c>
      <c r="L142" s="66">
        <f t="shared" si="55"/>
        <v>0</v>
      </c>
      <c r="M142" s="66">
        <f t="shared" si="55"/>
        <v>0</v>
      </c>
      <c r="N142" s="66">
        <f>+N144+N145+N146+N147+N148+N149+N155+N156+N157</f>
        <v>0</v>
      </c>
      <c r="O142" s="66">
        <f>+O144+O145+O146+O147+O148+O149+O155+O156+O157</f>
        <v>0</v>
      </c>
      <c r="P142" s="66">
        <f>+P144+P145+P146+P147+P148+P149+P155+P156+P157</f>
        <v>0</v>
      </c>
      <c r="Q142" s="70">
        <f>SUM(E142:P142)</f>
        <v>4721813.65</v>
      </c>
      <c r="R142" s="71">
        <f aca="true" t="shared" si="56" ref="R142:R157">+Q142/C142</f>
        <v>0.7083428817881788</v>
      </c>
      <c r="S142" s="70">
        <f aca="true" t="shared" si="57" ref="S142:S170">+C142-Q142</f>
        <v>1944186.3499999996</v>
      </c>
      <c r="T142" s="71">
        <f aca="true" t="shared" si="58" ref="T142:T170">+S142/C142</f>
        <v>0.2916571182118211</v>
      </c>
      <c r="U142" s="70">
        <f>+U144+U145+U146+U147+U148+U149+U155+U156+U157</f>
        <v>1944186.35</v>
      </c>
      <c r="V142" s="71">
        <f>+U142/C142</f>
        <v>0.2916571182118212</v>
      </c>
      <c r="AB142" s="2"/>
    </row>
    <row r="143" spans="1:28" s="3" customFormat="1" ht="15" hidden="1">
      <c r="A143" s="43" t="s">
        <v>73</v>
      </c>
      <c r="B143" s="6" t="s">
        <v>74</v>
      </c>
      <c r="C143" s="39">
        <f>2140000-300000-4000-600-210000-150000-1400000-30000-45400</f>
        <v>0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52">
        <f>SUM(D143:E143)</f>
        <v>0</v>
      </c>
      <c r="R143" s="45" t="e">
        <f t="shared" si="56"/>
        <v>#DIV/0!</v>
      </c>
      <c r="S143" s="46">
        <f t="shared" si="57"/>
        <v>0</v>
      </c>
      <c r="T143" s="47" t="e">
        <f t="shared" si="58"/>
        <v>#DIV/0!</v>
      </c>
      <c r="U143" s="52" t="e">
        <f>SUM(D143:T143)</f>
        <v>#DIV/0!</v>
      </c>
      <c r="V143" s="45" t="e">
        <f>+U143/#REF!</f>
        <v>#DIV/0!</v>
      </c>
      <c r="AB143" s="2"/>
    </row>
    <row r="144" spans="1:28" s="3" customFormat="1" ht="15">
      <c r="A144" s="101" t="s">
        <v>282</v>
      </c>
      <c r="B144" s="29" t="s">
        <v>281</v>
      </c>
      <c r="C144" s="38">
        <v>0</v>
      </c>
      <c r="D144" s="39"/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/>
      <c r="M144" s="39"/>
      <c r="N144" s="39"/>
      <c r="O144" s="39"/>
      <c r="P144" s="39"/>
      <c r="Q144" s="87">
        <f aca="true" t="shared" si="59" ref="Q144:Q175">SUM(E144:P144)</f>
        <v>0</v>
      </c>
      <c r="R144" s="88" t="e">
        <f t="shared" si="56"/>
        <v>#DIV/0!</v>
      </c>
      <c r="S144" s="87">
        <f t="shared" si="57"/>
        <v>0</v>
      </c>
      <c r="T144" s="88" t="e">
        <f t="shared" si="58"/>
        <v>#DIV/0!</v>
      </c>
      <c r="U144" s="87">
        <f aca="true" t="shared" si="60" ref="U144:U177">+C144+D144-Q144</f>
        <v>0</v>
      </c>
      <c r="V144" s="88" t="e">
        <f aca="true" t="shared" si="61" ref="V144:V164">+U144/C144</f>
        <v>#DIV/0!</v>
      </c>
      <c r="AB144" s="2"/>
    </row>
    <row r="145" spans="1:28" s="3" customFormat="1" ht="30">
      <c r="A145" s="94" t="s">
        <v>108</v>
      </c>
      <c r="B145" s="29" t="s">
        <v>75</v>
      </c>
      <c r="C145" s="38">
        <f>100000*12+100000</f>
        <v>1300000</v>
      </c>
      <c r="D145" s="39"/>
      <c r="E145" s="39">
        <v>0</v>
      </c>
      <c r="F145" s="39">
        <v>62553.65</v>
      </c>
      <c r="G145" s="39">
        <v>0</v>
      </c>
      <c r="H145" s="39">
        <v>0</v>
      </c>
      <c r="I145" s="39">
        <v>0</v>
      </c>
      <c r="J145" s="39">
        <v>0</v>
      </c>
      <c r="K145" s="39">
        <v>1202850.78</v>
      </c>
      <c r="L145" s="39"/>
      <c r="M145" s="39"/>
      <c r="N145" s="39"/>
      <c r="O145" s="39"/>
      <c r="P145" s="39"/>
      <c r="Q145" s="87">
        <f t="shared" si="59"/>
        <v>1265404.43</v>
      </c>
      <c r="R145" s="88">
        <f t="shared" si="56"/>
        <v>0.9733880230769231</v>
      </c>
      <c r="S145" s="87">
        <f t="shared" si="57"/>
        <v>34595.570000000065</v>
      </c>
      <c r="T145" s="88">
        <f t="shared" si="58"/>
        <v>0.02661197692307697</v>
      </c>
      <c r="U145" s="87">
        <f t="shared" si="60"/>
        <v>34595.570000000065</v>
      </c>
      <c r="V145" s="88">
        <f t="shared" si="61"/>
        <v>0.02661197692307697</v>
      </c>
      <c r="AB145" s="2"/>
    </row>
    <row r="146" spans="1:28" s="3" customFormat="1" ht="30">
      <c r="A146" s="94" t="s">
        <v>143</v>
      </c>
      <c r="B146" s="28" t="s">
        <v>144</v>
      </c>
      <c r="C146" s="38">
        <f>200000+700000</f>
        <v>900000</v>
      </c>
      <c r="D146" s="39"/>
      <c r="E146" s="39">
        <v>90000</v>
      </c>
      <c r="F146" s="39">
        <v>100000</v>
      </c>
      <c r="G146" s="39">
        <v>0</v>
      </c>
      <c r="H146" s="39">
        <v>0</v>
      </c>
      <c r="I146" s="39">
        <v>0</v>
      </c>
      <c r="J146" s="39">
        <v>650000</v>
      </c>
      <c r="K146" s="39">
        <v>0</v>
      </c>
      <c r="L146" s="39"/>
      <c r="M146" s="39"/>
      <c r="N146" s="39"/>
      <c r="O146" s="39"/>
      <c r="P146" s="39"/>
      <c r="Q146" s="87">
        <f t="shared" si="59"/>
        <v>840000</v>
      </c>
      <c r="R146" s="88">
        <f t="shared" si="56"/>
        <v>0.9333333333333333</v>
      </c>
      <c r="S146" s="87">
        <f t="shared" si="57"/>
        <v>60000</v>
      </c>
      <c r="T146" s="88">
        <f t="shared" si="58"/>
        <v>0.06666666666666667</v>
      </c>
      <c r="U146" s="87">
        <f t="shared" si="60"/>
        <v>60000</v>
      </c>
      <c r="V146" s="88">
        <f t="shared" si="61"/>
        <v>0.06666666666666667</v>
      </c>
      <c r="AB146" s="2"/>
    </row>
    <row r="147" spans="1:28" s="3" customFormat="1" ht="15">
      <c r="A147" s="94" t="s">
        <v>136</v>
      </c>
      <c r="B147" s="28" t="s">
        <v>137</v>
      </c>
      <c r="C147" s="38">
        <v>0</v>
      </c>
      <c r="D147" s="39"/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/>
      <c r="M147" s="39"/>
      <c r="N147" s="39"/>
      <c r="O147" s="39"/>
      <c r="P147" s="39"/>
      <c r="Q147" s="87">
        <f t="shared" si="59"/>
        <v>0</v>
      </c>
      <c r="R147" s="88" t="e">
        <f t="shared" si="56"/>
        <v>#DIV/0!</v>
      </c>
      <c r="S147" s="87">
        <f t="shared" si="57"/>
        <v>0</v>
      </c>
      <c r="T147" s="88" t="e">
        <f t="shared" si="58"/>
        <v>#DIV/0!</v>
      </c>
      <c r="U147" s="87">
        <f t="shared" si="60"/>
        <v>0</v>
      </c>
      <c r="V147" s="88" t="e">
        <f t="shared" si="61"/>
        <v>#DIV/0!</v>
      </c>
      <c r="AB147" s="2"/>
    </row>
    <row r="148" spans="1:28" s="3" customFormat="1" ht="15">
      <c r="A148" s="43" t="s">
        <v>109</v>
      </c>
      <c r="B148" s="6" t="s">
        <v>146</v>
      </c>
      <c r="C148" s="38">
        <f>150000*12</f>
        <v>1800000</v>
      </c>
      <c r="D148" s="39"/>
      <c r="E148" s="39">
        <v>27009.85</v>
      </c>
      <c r="F148" s="39">
        <v>121799.5</v>
      </c>
      <c r="G148" s="39">
        <v>58534</v>
      </c>
      <c r="H148" s="39">
        <v>275875</v>
      </c>
      <c r="I148" s="39">
        <v>184867.45</v>
      </c>
      <c r="J148" s="39">
        <v>42304.5</v>
      </c>
      <c r="K148" s="39">
        <v>0</v>
      </c>
      <c r="L148" s="39"/>
      <c r="M148" s="39"/>
      <c r="N148" s="39"/>
      <c r="O148" s="39"/>
      <c r="P148" s="39"/>
      <c r="Q148" s="87">
        <f t="shared" si="59"/>
        <v>710390.3</v>
      </c>
      <c r="R148" s="88">
        <f t="shared" si="56"/>
        <v>0.3946612777777778</v>
      </c>
      <c r="S148" s="87">
        <f t="shared" si="57"/>
        <v>1089609.7</v>
      </c>
      <c r="T148" s="88">
        <f t="shared" si="58"/>
        <v>0.6053387222222222</v>
      </c>
      <c r="U148" s="87">
        <f t="shared" si="60"/>
        <v>1089609.7</v>
      </c>
      <c r="V148" s="88">
        <f t="shared" si="61"/>
        <v>0.6053387222222222</v>
      </c>
      <c r="AB148" s="2"/>
    </row>
    <row r="149" spans="1:28" s="3" customFormat="1" ht="30">
      <c r="A149" s="78" t="s">
        <v>175</v>
      </c>
      <c r="B149" s="14" t="s">
        <v>176</v>
      </c>
      <c r="C149" s="38">
        <v>1416000</v>
      </c>
      <c r="D149" s="39"/>
      <c r="E149" s="39">
        <v>118000</v>
      </c>
      <c r="F149" s="39">
        <v>118000</v>
      </c>
      <c r="G149" s="39">
        <v>118000</v>
      </c>
      <c r="H149" s="39">
        <v>118000</v>
      </c>
      <c r="I149" s="39">
        <v>118000</v>
      </c>
      <c r="J149" s="39">
        <v>118000</v>
      </c>
      <c r="K149" s="39">
        <v>118000</v>
      </c>
      <c r="L149" s="39"/>
      <c r="M149" s="39"/>
      <c r="N149" s="39"/>
      <c r="O149" s="39"/>
      <c r="P149" s="39"/>
      <c r="Q149" s="87">
        <f t="shared" si="59"/>
        <v>826000</v>
      </c>
      <c r="R149" s="88">
        <f t="shared" si="56"/>
        <v>0.5833333333333334</v>
      </c>
      <c r="S149" s="87">
        <f t="shared" si="57"/>
        <v>590000</v>
      </c>
      <c r="T149" s="88">
        <f t="shared" si="58"/>
        <v>0.4166666666666667</v>
      </c>
      <c r="U149" s="87">
        <f t="shared" si="60"/>
        <v>590000</v>
      </c>
      <c r="V149" s="88">
        <f t="shared" si="61"/>
        <v>0.4166666666666667</v>
      </c>
      <c r="AB149" s="2"/>
    </row>
    <row r="150" spans="1:28" s="3" customFormat="1" ht="30" hidden="1">
      <c r="A150" s="78" t="s">
        <v>134</v>
      </c>
      <c r="B150" s="14" t="s">
        <v>133</v>
      </c>
      <c r="C150" s="38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87">
        <f t="shared" si="59"/>
        <v>0</v>
      </c>
      <c r="R150" s="88" t="e">
        <f t="shared" si="56"/>
        <v>#DIV/0!</v>
      </c>
      <c r="S150" s="87">
        <f t="shared" si="57"/>
        <v>0</v>
      </c>
      <c r="T150" s="88" t="e">
        <f t="shared" si="58"/>
        <v>#DIV/0!</v>
      </c>
      <c r="U150" s="87">
        <f t="shared" si="60"/>
        <v>0</v>
      </c>
      <c r="V150" s="88" t="e">
        <f t="shared" si="61"/>
        <v>#DIV/0!</v>
      </c>
      <c r="AB150" s="2"/>
    </row>
    <row r="151" spans="1:28" s="3" customFormat="1" ht="30" hidden="1">
      <c r="A151" s="78" t="s">
        <v>166</v>
      </c>
      <c r="B151" s="58" t="s">
        <v>167</v>
      </c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87">
        <f t="shared" si="59"/>
        <v>0</v>
      </c>
      <c r="R151" s="88" t="e">
        <f t="shared" si="56"/>
        <v>#DIV/0!</v>
      </c>
      <c r="S151" s="87">
        <f t="shared" si="57"/>
        <v>0</v>
      </c>
      <c r="T151" s="88" t="e">
        <f t="shared" si="58"/>
        <v>#DIV/0!</v>
      </c>
      <c r="U151" s="87">
        <f t="shared" si="60"/>
        <v>0</v>
      </c>
      <c r="V151" s="88" t="e">
        <f t="shared" si="61"/>
        <v>#DIV/0!</v>
      </c>
      <c r="AB151" s="2"/>
    </row>
    <row r="152" spans="1:28" s="3" customFormat="1" ht="30" hidden="1">
      <c r="A152" s="78" t="s">
        <v>150</v>
      </c>
      <c r="B152" s="33" t="s">
        <v>186</v>
      </c>
      <c r="C152" s="38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87">
        <f t="shared" si="59"/>
        <v>0</v>
      </c>
      <c r="R152" s="88" t="e">
        <f t="shared" si="56"/>
        <v>#DIV/0!</v>
      </c>
      <c r="S152" s="87">
        <f t="shared" si="57"/>
        <v>0</v>
      </c>
      <c r="T152" s="88" t="e">
        <f t="shared" si="58"/>
        <v>#DIV/0!</v>
      </c>
      <c r="U152" s="87">
        <f t="shared" si="60"/>
        <v>0</v>
      </c>
      <c r="V152" s="88" t="e">
        <f t="shared" si="61"/>
        <v>#DIV/0!</v>
      </c>
      <c r="W152" s="4"/>
      <c r="X152" s="4"/>
      <c r="Y152" s="4"/>
      <c r="Z152" s="4"/>
      <c r="AA152" s="4"/>
      <c r="AB152" s="17"/>
    </row>
    <row r="153" spans="1:28" s="3" customFormat="1" ht="15" hidden="1">
      <c r="A153" s="43"/>
      <c r="B153" s="6"/>
      <c r="C153" s="3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87">
        <f t="shared" si="59"/>
        <v>0</v>
      </c>
      <c r="R153" s="88" t="e">
        <f t="shared" si="56"/>
        <v>#DIV/0!</v>
      </c>
      <c r="S153" s="87">
        <f t="shared" si="57"/>
        <v>0</v>
      </c>
      <c r="T153" s="88" t="e">
        <f t="shared" si="58"/>
        <v>#DIV/0!</v>
      </c>
      <c r="U153" s="87">
        <f t="shared" si="60"/>
        <v>0</v>
      </c>
      <c r="V153" s="88" t="e">
        <f t="shared" si="61"/>
        <v>#DIV/0!</v>
      </c>
      <c r="W153" s="4"/>
      <c r="X153" s="4"/>
      <c r="Y153" s="4"/>
      <c r="Z153" s="4"/>
      <c r="AA153" s="4"/>
      <c r="AB153" s="17"/>
    </row>
    <row r="154" spans="1:28" s="3" customFormat="1" ht="15" hidden="1">
      <c r="A154" s="43"/>
      <c r="B154" s="14"/>
      <c r="C154" s="3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87">
        <f t="shared" si="59"/>
        <v>0</v>
      </c>
      <c r="R154" s="88" t="e">
        <f t="shared" si="56"/>
        <v>#DIV/0!</v>
      </c>
      <c r="S154" s="87">
        <f t="shared" si="57"/>
        <v>0</v>
      </c>
      <c r="T154" s="88" t="e">
        <f t="shared" si="58"/>
        <v>#DIV/0!</v>
      </c>
      <c r="U154" s="87">
        <f t="shared" si="60"/>
        <v>0</v>
      </c>
      <c r="V154" s="88" t="e">
        <f t="shared" si="61"/>
        <v>#DIV/0!</v>
      </c>
      <c r="W154" s="4"/>
      <c r="X154" s="4"/>
      <c r="Y154" s="4"/>
      <c r="Z154" s="4"/>
      <c r="AA154" s="4"/>
      <c r="AB154" s="17"/>
    </row>
    <row r="155" spans="1:28" s="3" customFormat="1" ht="30">
      <c r="A155" s="78" t="s">
        <v>134</v>
      </c>
      <c r="B155" s="14" t="s">
        <v>133</v>
      </c>
      <c r="C155" s="38">
        <v>900000</v>
      </c>
      <c r="D155" s="39"/>
      <c r="E155" s="39">
        <v>230000</v>
      </c>
      <c r="F155" s="39">
        <v>50000</v>
      </c>
      <c r="G155" s="39">
        <v>40000</v>
      </c>
      <c r="H155" s="39">
        <v>60000</v>
      </c>
      <c r="I155" s="39">
        <v>210000</v>
      </c>
      <c r="J155" s="39">
        <v>100368.92</v>
      </c>
      <c r="K155" s="39">
        <v>148750</v>
      </c>
      <c r="L155" s="39"/>
      <c r="M155" s="39"/>
      <c r="N155" s="39"/>
      <c r="O155" s="39"/>
      <c r="P155" s="39"/>
      <c r="Q155" s="87">
        <f t="shared" si="59"/>
        <v>839118.92</v>
      </c>
      <c r="R155" s="88">
        <f t="shared" si="56"/>
        <v>0.9323543555555556</v>
      </c>
      <c r="S155" s="87">
        <f t="shared" si="57"/>
        <v>60881.07999999996</v>
      </c>
      <c r="T155" s="88">
        <f t="shared" si="58"/>
        <v>0.0676456444444444</v>
      </c>
      <c r="U155" s="87">
        <f t="shared" si="60"/>
        <v>60881.07999999996</v>
      </c>
      <c r="V155" s="88">
        <f t="shared" si="61"/>
        <v>0.0676456444444444</v>
      </c>
      <c r="W155" s="4"/>
      <c r="X155" s="4"/>
      <c r="Y155" s="4"/>
      <c r="Z155" s="4"/>
      <c r="AA155" s="4"/>
      <c r="AB155" s="17"/>
    </row>
    <row r="156" spans="1:28" s="3" customFormat="1" ht="30">
      <c r="A156" s="78" t="s">
        <v>166</v>
      </c>
      <c r="B156" s="58" t="s">
        <v>167</v>
      </c>
      <c r="C156" s="38">
        <v>150000</v>
      </c>
      <c r="D156" s="39"/>
      <c r="E156" s="39">
        <v>0</v>
      </c>
      <c r="F156" s="39">
        <v>0</v>
      </c>
      <c r="G156" s="39">
        <v>45000</v>
      </c>
      <c r="H156" s="39">
        <v>0</v>
      </c>
      <c r="I156" s="39">
        <v>0</v>
      </c>
      <c r="J156" s="39">
        <v>0</v>
      </c>
      <c r="K156" s="39">
        <v>0</v>
      </c>
      <c r="L156" s="39"/>
      <c r="M156" s="39"/>
      <c r="N156" s="39"/>
      <c r="O156" s="39"/>
      <c r="P156" s="39"/>
      <c r="Q156" s="87">
        <f t="shared" si="59"/>
        <v>45000</v>
      </c>
      <c r="R156" s="88">
        <f t="shared" si="56"/>
        <v>0.3</v>
      </c>
      <c r="S156" s="87">
        <f t="shared" si="57"/>
        <v>105000</v>
      </c>
      <c r="T156" s="88">
        <f t="shared" si="58"/>
        <v>0.7</v>
      </c>
      <c r="U156" s="87">
        <f t="shared" si="60"/>
        <v>105000</v>
      </c>
      <c r="V156" s="88">
        <f t="shared" si="61"/>
        <v>0.7</v>
      </c>
      <c r="W156" s="4"/>
      <c r="X156" s="4"/>
      <c r="Y156" s="4"/>
      <c r="Z156" s="4"/>
      <c r="AA156" s="4"/>
      <c r="AB156" s="17"/>
    </row>
    <row r="157" spans="1:28" s="3" customFormat="1" ht="46.5" customHeight="1">
      <c r="A157" s="78" t="s">
        <v>150</v>
      </c>
      <c r="B157" s="33" t="s">
        <v>186</v>
      </c>
      <c r="C157" s="38">
        <v>200000</v>
      </c>
      <c r="D157" s="39"/>
      <c r="E157" s="39">
        <v>28400</v>
      </c>
      <c r="F157" s="39">
        <v>28350</v>
      </c>
      <c r="G157" s="39">
        <v>27850</v>
      </c>
      <c r="H157" s="39">
        <v>27750</v>
      </c>
      <c r="I157" s="39">
        <v>27650</v>
      </c>
      <c r="J157" s="39">
        <v>27850</v>
      </c>
      <c r="K157" s="39">
        <v>28050</v>
      </c>
      <c r="L157" s="39"/>
      <c r="M157" s="39"/>
      <c r="N157" s="39"/>
      <c r="O157" s="39"/>
      <c r="P157" s="39"/>
      <c r="Q157" s="87">
        <f t="shared" si="59"/>
        <v>195900</v>
      </c>
      <c r="R157" s="88">
        <f t="shared" si="56"/>
        <v>0.9795</v>
      </c>
      <c r="S157" s="87">
        <f t="shared" si="57"/>
        <v>4100</v>
      </c>
      <c r="T157" s="88">
        <f t="shared" si="58"/>
        <v>0.0205</v>
      </c>
      <c r="U157" s="87">
        <f t="shared" si="60"/>
        <v>4100</v>
      </c>
      <c r="V157" s="88">
        <f t="shared" si="61"/>
        <v>0.0205</v>
      </c>
      <c r="W157" s="4"/>
      <c r="X157" s="4"/>
      <c r="Y157" s="4"/>
      <c r="Z157" s="4"/>
      <c r="AA157" s="4"/>
      <c r="AB157" s="17"/>
    </row>
    <row r="158" spans="1:28" s="3" customFormat="1" ht="15">
      <c r="A158" s="20" t="s">
        <v>76</v>
      </c>
      <c r="B158" s="8" t="s">
        <v>273</v>
      </c>
      <c r="C158" s="66">
        <f>+C159+C160+C161+C162</f>
        <v>300000</v>
      </c>
      <c r="D158" s="66">
        <f>+D159+D160+D161+D162</f>
        <v>0</v>
      </c>
      <c r="E158" s="66">
        <f aca="true" t="shared" si="62" ref="E158:P158">+E159+E160+E161+E162</f>
        <v>0</v>
      </c>
      <c r="F158" s="66">
        <f t="shared" si="62"/>
        <v>127524.96</v>
      </c>
      <c r="G158" s="66">
        <f t="shared" si="62"/>
        <v>0</v>
      </c>
      <c r="H158" s="66">
        <f>+H159+H160+H161+H162</f>
        <v>0</v>
      </c>
      <c r="I158" s="66">
        <f t="shared" si="62"/>
        <v>0</v>
      </c>
      <c r="J158" s="66">
        <f t="shared" si="62"/>
        <v>0</v>
      </c>
      <c r="K158" s="66">
        <f t="shared" si="62"/>
        <v>0</v>
      </c>
      <c r="L158" s="66">
        <f t="shared" si="62"/>
        <v>0</v>
      </c>
      <c r="M158" s="66">
        <f t="shared" si="62"/>
        <v>0</v>
      </c>
      <c r="N158" s="66">
        <f t="shared" si="62"/>
        <v>0</v>
      </c>
      <c r="O158" s="66">
        <f t="shared" si="62"/>
        <v>0</v>
      </c>
      <c r="P158" s="66">
        <f t="shared" si="62"/>
        <v>0</v>
      </c>
      <c r="Q158" s="70">
        <f>SUM(E158:P158)</f>
        <v>127524.96</v>
      </c>
      <c r="R158" s="71">
        <f>+Q158/(C158+D158)</f>
        <v>0.4250832</v>
      </c>
      <c r="S158" s="70">
        <f t="shared" si="57"/>
        <v>172475.03999999998</v>
      </c>
      <c r="T158" s="71">
        <f t="shared" si="58"/>
        <v>0.5749167999999999</v>
      </c>
      <c r="U158" s="70">
        <f>+C158+D158-Q158</f>
        <v>172475.03999999998</v>
      </c>
      <c r="V158" s="71">
        <f t="shared" si="61"/>
        <v>0.5749167999999999</v>
      </c>
      <c r="W158" s="4"/>
      <c r="X158" s="4"/>
      <c r="Y158" s="4"/>
      <c r="Z158" s="4"/>
      <c r="AA158" s="4"/>
      <c r="AB158" s="17"/>
    </row>
    <row r="159" spans="1:28" s="10" customFormat="1" ht="15">
      <c r="A159" s="95" t="s">
        <v>110</v>
      </c>
      <c r="B159" s="23" t="s">
        <v>163</v>
      </c>
      <c r="C159" s="38">
        <v>0</v>
      </c>
      <c r="D159" s="39"/>
      <c r="E159" s="39">
        <v>0</v>
      </c>
      <c r="F159" s="38">
        <v>0</v>
      </c>
      <c r="G159" s="38">
        <v>0</v>
      </c>
      <c r="H159" s="38"/>
      <c r="I159" s="38">
        <v>0</v>
      </c>
      <c r="J159" s="38">
        <v>0</v>
      </c>
      <c r="K159" s="38">
        <v>0</v>
      </c>
      <c r="L159" s="38"/>
      <c r="M159" s="38"/>
      <c r="N159" s="38"/>
      <c r="O159" s="38"/>
      <c r="P159" s="38"/>
      <c r="Q159" s="87">
        <f t="shared" si="59"/>
        <v>0</v>
      </c>
      <c r="R159" s="88" t="e">
        <f>+Q159/C159</f>
        <v>#DIV/0!</v>
      </c>
      <c r="S159" s="87">
        <f t="shared" si="57"/>
        <v>0</v>
      </c>
      <c r="T159" s="88" t="e">
        <f t="shared" si="58"/>
        <v>#DIV/0!</v>
      </c>
      <c r="U159" s="87">
        <f t="shared" si="60"/>
        <v>0</v>
      </c>
      <c r="V159" s="88" t="e">
        <f t="shared" si="61"/>
        <v>#DIV/0!</v>
      </c>
      <c r="AB159" s="1"/>
    </row>
    <row r="160" spans="1:28" s="10" customFormat="1" ht="15">
      <c r="A160" s="94" t="s">
        <v>187</v>
      </c>
      <c r="B160" s="28" t="s">
        <v>188</v>
      </c>
      <c r="C160" s="38">
        <v>0</v>
      </c>
      <c r="D160" s="39"/>
      <c r="E160" s="39">
        <v>0</v>
      </c>
      <c r="F160" s="38">
        <v>0</v>
      </c>
      <c r="G160" s="38">
        <v>0</v>
      </c>
      <c r="H160" s="38"/>
      <c r="I160" s="38">
        <v>0</v>
      </c>
      <c r="J160" s="38">
        <v>0</v>
      </c>
      <c r="K160" s="38">
        <v>0</v>
      </c>
      <c r="L160" s="38"/>
      <c r="M160" s="38"/>
      <c r="N160" s="38"/>
      <c r="O160" s="38"/>
      <c r="P160" s="38"/>
      <c r="Q160" s="87">
        <f t="shared" si="59"/>
        <v>0</v>
      </c>
      <c r="R160" s="88" t="e">
        <f>+Q160/C160</f>
        <v>#DIV/0!</v>
      </c>
      <c r="S160" s="87">
        <f t="shared" si="57"/>
        <v>0</v>
      </c>
      <c r="T160" s="88" t="e">
        <f t="shared" si="58"/>
        <v>#DIV/0!</v>
      </c>
      <c r="U160" s="87">
        <f t="shared" si="60"/>
        <v>0</v>
      </c>
      <c r="V160" s="88" t="e">
        <f t="shared" si="61"/>
        <v>#DIV/0!</v>
      </c>
      <c r="AB160" s="1"/>
    </row>
    <row r="161" spans="1:28" s="10" customFormat="1" ht="30">
      <c r="A161" s="94" t="s">
        <v>120</v>
      </c>
      <c r="B161" s="28" t="s">
        <v>151</v>
      </c>
      <c r="C161" s="38">
        <v>300000</v>
      </c>
      <c r="D161" s="39"/>
      <c r="E161" s="39">
        <v>0</v>
      </c>
      <c r="F161" s="38">
        <v>127524.96</v>
      </c>
      <c r="G161" s="38">
        <v>0</v>
      </c>
      <c r="H161" s="38"/>
      <c r="I161" s="38">
        <v>0</v>
      </c>
      <c r="J161" s="38">
        <v>0</v>
      </c>
      <c r="K161" s="38">
        <v>0</v>
      </c>
      <c r="L161" s="38"/>
      <c r="M161" s="38"/>
      <c r="N161" s="38"/>
      <c r="O161" s="38"/>
      <c r="P161" s="38"/>
      <c r="Q161" s="87">
        <f t="shared" si="59"/>
        <v>127524.96</v>
      </c>
      <c r="R161" s="88">
        <f>+Q161/C161</f>
        <v>0.4250832</v>
      </c>
      <c r="S161" s="87">
        <f t="shared" si="57"/>
        <v>172475.03999999998</v>
      </c>
      <c r="T161" s="88">
        <f t="shared" si="58"/>
        <v>0.5749167999999999</v>
      </c>
      <c r="U161" s="87">
        <f t="shared" si="60"/>
        <v>172475.03999999998</v>
      </c>
      <c r="V161" s="88">
        <f t="shared" si="61"/>
        <v>0.5749167999999999</v>
      </c>
      <c r="AB161" s="1"/>
    </row>
    <row r="162" spans="1:28" s="15" customFormat="1" ht="15">
      <c r="A162" s="78" t="s">
        <v>118</v>
      </c>
      <c r="B162" s="58" t="s">
        <v>189</v>
      </c>
      <c r="C162" s="38">
        <v>0</v>
      </c>
      <c r="D162" s="39"/>
      <c r="E162" s="39">
        <v>0</v>
      </c>
      <c r="F162" s="38">
        <v>0</v>
      </c>
      <c r="G162" s="38">
        <v>0</v>
      </c>
      <c r="H162" s="38"/>
      <c r="I162" s="38">
        <v>0</v>
      </c>
      <c r="J162" s="38">
        <v>0</v>
      </c>
      <c r="K162" s="38">
        <v>0</v>
      </c>
      <c r="L162" s="38"/>
      <c r="M162" s="38"/>
      <c r="N162" s="38"/>
      <c r="O162" s="38"/>
      <c r="P162" s="38"/>
      <c r="Q162" s="87">
        <f t="shared" si="59"/>
        <v>0</v>
      </c>
      <c r="R162" s="88" t="e">
        <f>+Q162/C162</f>
        <v>#DIV/0!</v>
      </c>
      <c r="S162" s="87">
        <f t="shared" si="57"/>
        <v>0</v>
      </c>
      <c r="T162" s="88" t="e">
        <f t="shared" si="58"/>
        <v>#DIV/0!</v>
      </c>
      <c r="U162" s="87">
        <f t="shared" si="60"/>
        <v>0</v>
      </c>
      <c r="V162" s="88" t="e">
        <f t="shared" si="61"/>
        <v>#DIV/0!</v>
      </c>
      <c r="AB162" s="13"/>
    </row>
    <row r="163" spans="1:28" s="15" customFormat="1" ht="35.25" customHeight="1">
      <c r="A163" s="35" t="s">
        <v>328</v>
      </c>
      <c r="B163" s="85" t="s">
        <v>329</v>
      </c>
      <c r="C163" s="66">
        <f>+C164+C165</f>
        <v>30000</v>
      </c>
      <c r="D163" s="66">
        <f>+D164+D165</f>
        <v>0</v>
      </c>
      <c r="E163" s="66">
        <f aca="true" t="shared" si="63" ref="E163:P165">+E164</f>
        <v>0</v>
      </c>
      <c r="F163" s="66">
        <f t="shared" si="63"/>
        <v>0</v>
      </c>
      <c r="G163" s="66">
        <f t="shared" si="63"/>
        <v>0</v>
      </c>
      <c r="H163" s="66">
        <f t="shared" si="63"/>
        <v>1200</v>
      </c>
      <c r="I163" s="66">
        <f>+I164+I165</f>
        <v>0</v>
      </c>
      <c r="J163" s="66">
        <f>+J164+J165</f>
        <v>0</v>
      </c>
      <c r="K163" s="66">
        <f t="shared" si="63"/>
        <v>0</v>
      </c>
      <c r="L163" s="66">
        <f t="shared" si="63"/>
        <v>0</v>
      </c>
      <c r="M163" s="66">
        <f t="shared" si="63"/>
        <v>0</v>
      </c>
      <c r="N163" s="66">
        <f t="shared" si="63"/>
        <v>0</v>
      </c>
      <c r="O163" s="66">
        <f t="shared" si="63"/>
        <v>0</v>
      </c>
      <c r="P163" s="66">
        <f t="shared" si="63"/>
        <v>0</v>
      </c>
      <c r="Q163" s="70">
        <f>SUM(E163:P163)</f>
        <v>1200</v>
      </c>
      <c r="R163" s="71">
        <f>+Q163/(C163+D163)</f>
        <v>0.04</v>
      </c>
      <c r="S163" s="70">
        <f>+C163-Q163</f>
        <v>28800</v>
      </c>
      <c r="T163" s="71">
        <f>+S163/C163</f>
        <v>0.96</v>
      </c>
      <c r="U163" s="70">
        <f>+C163+D163-Q163</f>
        <v>28800</v>
      </c>
      <c r="V163" s="110" t="e">
        <f>+U163/D163</f>
        <v>#DIV/0!</v>
      </c>
      <c r="AB163" s="13"/>
    </row>
    <row r="164" spans="1:28" s="15" customFormat="1" ht="15">
      <c r="A164" s="125" t="s">
        <v>327</v>
      </c>
      <c r="B164" s="102" t="s">
        <v>330</v>
      </c>
      <c r="C164" s="34">
        <v>30000</v>
      </c>
      <c r="D164" s="39"/>
      <c r="E164" s="39"/>
      <c r="F164" s="38"/>
      <c r="G164" s="38"/>
      <c r="H164" s="38">
        <v>1200</v>
      </c>
      <c r="I164" s="38">
        <v>0</v>
      </c>
      <c r="J164" s="38">
        <v>0</v>
      </c>
      <c r="K164" s="38">
        <v>0</v>
      </c>
      <c r="L164" s="38"/>
      <c r="M164" s="38"/>
      <c r="N164" s="38"/>
      <c r="O164" s="38"/>
      <c r="P164" s="38"/>
      <c r="Q164" s="87">
        <f>SUM(E164:P164)</f>
        <v>1200</v>
      </c>
      <c r="R164" s="88">
        <f>+Q164/(C164+D164)</f>
        <v>0.04</v>
      </c>
      <c r="S164" s="87">
        <f>+C164-Q164</f>
        <v>28800</v>
      </c>
      <c r="T164" s="88">
        <f>+S164/C164</f>
        <v>0.96</v>
      </c>
      <c r="U164" s="87">
        <f>+C164+D164-Q164</f>
        <v>28800</v>
      </c>
      <c r="V164" s="88">
        <f t="shared" si="61"/>
        <v>0.96</v>
      </c>
      <c r="AB164" s="13"/>
    </row>
    <row r="165" spans="1:28" s="15" customFormat="1" ht="30">
      <c r="A165" s="35" t="s">
        <v>256</v>
      </c>
      <c r="B165" s="99" t="s">
        <v>258</v>
      </c>
      <c r="C165" s="66">
        <f>+C166+C167</f>
        <v>0</v>
      </c>
      <c r="D165" s="66">
        <f>+D166+D167</f>
        <v>0</v>
      </c>
      <c r="E165" s="66">
        <f t="shared" si="63"/>
        <v>0</v>
      </c>
      <c r="F165" s="66">
        <f t="shared" si="63"/>
        <v>0</v>
      </c>
      <c r="G165" s="66">
        <f t="shared" si="63"/>
        <v>0</v>
      </c>
      <c r="H165" s="66">
        <f t="shared" si="63"/>
        <v>0</v>
      </c>
      <c r="I165" s="66">
        <f>+I166+I167</f>
        <v>0</v>
      </c>
      <c r="J165" s="66">
        <f>+J166+J167</f>
        <v>0</v>
      </c>
      <c r="K165" s="66">
        <f t="shared" si="63"/>
        <v>0</v>
      </c>
      <c r="L165" s="66">
        <f t="shared" si="63"/>
        <v>0</v>
      </c>
      <c r="M165" s="66">
        <f t="shared" si="63"/>
        <v>0</v>
      </c>
      <c r="N165" s="66">
        <f t="shared" si="63"/>
        <v>0</v>
      </c>
      <c r="O165" s="66">
        <f t="shared" si="63"/>
        <v>0</v>
      </c>
      <c r="P165" s="66">
        <f t="shared" si="63"/>
        <v>0</v>
      </c>
      <c r="Q165" s="70">
        <f>SUM(E165:P165)</f>
        <v>0</v>
      </c>
      <c r="R165" s="71" t="e">
        <f>+Q165/(C165+D165)</f>
        <v>#DIV/0!</v>
      </c>
      <c r="S165" s="70">
        <f>+C165-Q165</f>
        <v>0</v>
      </c>
      <c r="T165" s="71" t="e">
        <f>+S165/C165</f>
        <v>#DIV/0!</v>
      </c>
      <c r="U165" s="70">
        <f>+C165+D165-Q165</f>
        <v>0</v>
      </c>
      <c r="V165" s="110" t="e">
        <f>+U165/D165</f>
        <v>#DIV/0!</v>
      </c>
      <c r="AB165" s="13"/>
    </row>
    <row r="166" spans="1:28" s="15" customFormat="1" ht="15">
      <c r="A166" s="92" t="s">
        <v>178</v>
      </c>
      <c r="B166" s="97" t="s">
        <v>257</v>
      </c>
      <c r="C166" s="34">
        <v>0</v>
      </c>
      <c r="D166" s="39"/>
      <c r="E166" s="39">
        <v>0</v>
      </c>
      <c r="F166" s="38">
        <v>0</v>
      </c>
      <c r="G166" s="38">
        <v>0</v>
      </c>
      <c r="H166" s="38"/>
      <c r="I166" s="38">
        <v>0</v>
      </c>
      <c r="J166" s="38">
        <v>0</v>
      </c>
      <c r="K166" s="38">
        <v>0</v>
      </c>
      <c r="L166" s="38"/>
      <c r="M166" s="38"/>
      <c r="N166" s="38"/>
      <c r="O166" s="38"/>
      <c r="P166" s="38"/>
      <c r="Q166" s="87">
        <f t="shared" si="59"/>
        <v>0</v>
      </c>
      <c r="R166" s="88" t="e">
        <f>+Q166/(C166+D166)</f>
        <v>#DIV/0!</v>
      </c>
      <c r="S166" s="87">
        <f t="shared" si="57"/>
        <v>0</v>
      </c>
      <c r="T166" s="88" t="e">
        <f t="shared" si="58"/>
        <v>#DIV/0!</v>
      </c>
      <c r="U166" s="87">
        <f t="shared" si="60"/>
        <v>0</v>
      </c>
      <c r="V166" s="88" t="e">
        <f>+U166/D166</f>
        <v>#DIV/0!</v>
      </c>
      <c r="AB166" s="13"/>
    </row>
    <row r="167" spans="1:28" s="15" customFormat="1" ht="15">
      <c r="A167" s="92" t="s">
        <v>259</v>
      </c>
      <c r="B167" s="97" t="s">
        <v>260</v>
      </c>
      <c r="C167" s="34">
        <v>0</v>
      </c>
      <c r="D167" s="39"/>
      <c r="E167" s="39">
        <v>0</v>
      </c>
      <c r="F167" s="38">
        <v>0</v>
      </c>
      <c r="G167" s="38">
        <v>0</v>
      </c>
      <c r="H167" s="38"/>
      <c r="I167" s="38">
        <v>0</v>
      </c>
      <c r="J167" s="38">
        <v>0</v>
      </c>
      <c r="K167" s="38">
        <v>0</v>
      </c>
      <c r="L167" s="38"/>
      <c r="M167" s="38"/>
      <c r="N167" s="38"/>
      <c r="O167" s="38"/>
      <c r="P167" s="38"/>
      <c r="Q167" s="87">
        <f t="shared" si="59"/>
        <v>0</v>
      </c>
      <c r="R167" s="88" t="e">
        <f>+Q167/(C167+D167)</f>
        <v>#DIV/0!</v>
      </c>
      <c r="S167" s="87">
        <f>+C167-Q167</f>
        <v>0</v>
      </c>
      <c r="T167" s="88" t="e">
        <f>+S167/C167</f>
        <v>#DIV/0!</v>
      </c>
      <c r="U167" s="87">
        <f t="shared" si="60"/>
        <v>0</v>
      </c>
      <c r="V167" s="88" t="e">
        <f>+U167/D167</f>
        <v>#DIV/0!</v>
      </c>
      <c r="AB167" s="13"/>
    </row>
    <row r="168" spans="1:28" s="15" customFormat="1" ht="15">
      <c r="A168" s="20" t="s">
        <v>248</v>
      </c>
      <c r="B168" s="20" t="s">
        <v>250</v>
      </c>
      <c r="C168" s="66">
        <f>+C169+C170</f>
        <v>0</v>
      </c>
      <c r="D168" s="66">
        <f>+D169+D170</f>
        <v>0</v>
      </c>
      <c r="E168" s="66"/>
      <c r="F168" s="66"/>
      <c r="G168" s="66"/>
      <c r="H168" s="66">
        <f>+H169+H170</f>
        <v>0</v>
      </c>
      <c r="I168" s="66">
        <f>+I169+I170</f>
        <v>0</v>
      </c>
      <c r="J168" s="66">
        <f>+J169+J170</f>
        <v>0</v>
      </c>
      <c r="K168" s="66"/>
      <c r="L168" s="66"/>
      <c r="M168" s="66">
        <f>+M169+M170</f>
        <v>0</v>
      </c>
      <c r="N168" s="66">
        <f>+N169+N170</f>
        <v>0</v>
      </c>
      <c r="O168" s="66">
        <f>+O169+O170</f>
        <v>0</v>
      </c>
      <c r="P168" s="66">
        <f>+P169+P170</f>
        <v>0</v>
      </c>
      <c r="Q168" s="70">
        <f>SUM(E168:P168)</f>
        <v>0</v>
      </c>
      <c r="R168" s="71" t="e">
        <f>+C169/Q168</f>
        <v>#DIV/0!</v>
      </c>
      <c r="S168" s="70">
        <f t="shared" si="57"/>
        <v>0</v>
      </c>
      <c r="T168" s="71" t="e">
        <f t="shared" si="58"/>
        <v>#DIV/0!</v>
      </c>
      <c r="U168" s="70">
        <f>+U169+U170</f>
        <v>0</v>
      </c>
      <c r="V168" s="71" t="e">
        <f>+U168/C168</f>
        <v>#DIV/0!</v>
      </c>
      <c r="AB168" s="13"/>
    </row>
    <row r="169" spans="1:28" s="15" customFormat="1" ht="15">
      <c r="A169" s="102" t="s">
        <v>251</v>
      </c>
      <c r="B169" s="23" t="s">
        <v>249</v>
      </c>
      <c r="C169" s="34">
        <v>0</v>
      </c>
      <c r="D169" s="39"/>
      <c r="E169" s="39">
        <v>0</v>
      </c>
      <c r="F169" s="38">
        <v>0</v>
      </c>
      <c r="G169" s="38">
        <v>0</v>
      </c>
      <c r="H169" s="38"/>
      <c r="I169" s="38">
        <v>0</v>
      </c>
      <c r="J169" s="38">
        <v>0</v>
      </c>
      <c r="K169" s="38">
        <v>0</v>
      </c>
      <c r="L169" s="38"/>
      <c r="M169" s="38"/>
      <c r="N169" s="38"/>
      <c r="O169" s="38"/>
      <c r="P169" s="38"/>
      <c r="Q169" s="87">
        <f t="shared" si="59"/>
        <v>0</v>
      </c>
      <c r="R169" s="88" t="e">
        <f>+Q169/C169</f>
        <v>#DIV/0!</v>
      </c>
      <c r="S169" s="87">
        <f t="shared" si="57"/>
        <v>0</v>
      </c>
      <c r="T169" s="88" t="e">
        <f t="shared" si="58"/>
        <v>#DIV/0!</v>
      </c>
      <c r="U169" s="87">
        <f t="shared" si="60"/>
        <v>0</v>
      </c>
      <c r="V169" s="88" t="e">
        <f>+U169/C169</f>
        <v>#DIV/0!</v>
      </c>
      <c r="AB169" s="13"/>
    </row>
    <row r="170" spans="1:28" s="15" customFormat="1" ht="30">
      <c r="A170" s="109" t="s">
        <v>253</v>
      </c>
      <c r="B170" s="29" t="s">
        <v>252</v>
      </c>
      <c r="C170" s="34">
        <v>0</v>
      </c>
      <c r="D170" s="39"/>
      <c r="E170" s="39">
        <v>0</v>
      </c>
      <c r="F170" s="38">
        <v>0</v>
      </c>
      <c r="G170" s="38">
        <v>0</v>
      </c>
      <c r="H170" s="38"/>
      <c r="I170" s="38">
        <v>0</v>
      </c>
      <c r="J170" s="38">
        <v>0</v>
      </c>
      <c r="K170" s="38">
        <v>0</v>
      </c>
      <c r="L170" s="38"/>
      <c r="M170" s="38"/>
      <c r="N170" s="38"/>
      <c r="O170" s="38"/>
      <c r="P170" s="38"/>
      <c r="Q170" s="87">
        <f t="shared" si="59"/>
        <v>0</v>
      </c>
      <c r="R170" s="88" t="e">
        <f>+Q170/C170</f>
        <v>#DIV/0!</v>
      </c>
      <c r="S170" s="87">
        <f t="shared" si="57"/>
        <v>0</v>
      </c>
      <c r="T170" s="88" t="e">
        <f t="shared" si="58"/>
        <v>#DIV/0!</v>
      </c>
      <c r="U170" s="87">
        <f t="shared" si="60"/>
        <v>0</v>
      </c>
      <c r="V170" s="88" t="e">
        <f>+U170/C170</f>
        <v>#DIV/0!</v>
      </c>
      <c r="AB170" s="13"/>
    </row>
    <row r="171" spans="1:28" s="15" customFormat="1" ht="15">
      <c r="A171" s="20" t="s">
        <v>199</v>
      </c>
      <c r="B171" s="20" t="s">
        <v>200</v>
      </c>
      <c r="C171" s="66">
        <f>+C173</f>
        <v>0</v>
      </c>
      <c r="D171" s="66">
        <f>+D172+D173</f>
        <v>0</v>
      </c>
      <c r="E171" s="66">
        <f aca="true" t="shared" si="64" ref="E171:P171">+E173</f>
        <v>0</v>
      </c>
      <c r="F171" s="66">
        <v>0</v>
      </c>
      <c r="G171" s="66">
        <f t="shared" si="64"/>
        <v>0</v>
      </c>
      <c r="H171" s="66">
        <f>+H173</f>
        <v>0</v>
      </c>
      <c r="I171" s="66">
        <f t="shared" si="64"/>
        <v>0</v>
      </c>
      <c r="J171" s="66">
        <f>+J172+J173</f>
        <v>0</v>
      </c>
      <c r="K171" s="66">
        <f t="shared" si="64"/>
        <v>0</v>
      </c>
      <c r="L171" s="66">
        <f t="shared" si="64"/>
        <v>0</v>
      </c>
      <c r="M171" s="66">
        <f t="shared" si="64"/>
        <v>0</v>
      </c>
      <c r="N171" s="66">
        <f t="shared" si="64"/>
        <v>0</v>
      </c>
      <c r="O171" s="66">
        <f t="shared" si="64"/>
        <v>0</v>
      </c>
      <c r="P171" s="66">
        <f t="shared" si="64"/>
        <v>0</v>
      </c>
      <c r="Q171" s="70">
        <f>SUM(E171:P171)</f>
        <v>0</v>
      </c>
      <c r="R171" s="71" t="e">
        <f>+Q171/C171</f>
        <v>#DIV/0!</v>
      </c>
      <c r="S171" s="70">
        <f aca="true" t="shared" si="65" ref="S171:S177">+C171-Q171</f>
        <v>0</v>
      </c>
      <c r="T171" s="71" t="e">
        <f aca="true" t="shared" si="66" ref="T171:T178">+S171/C171</f>
        <v>#DIV/0!</v>
      </c>
      <c r="U171" s="70">
        <f>+U173</f>
        <v>0</v>
      </c>
      <c r="V171" s="71" t="e">
        <f>+U171/C171</f>
        <v>#DIV/0!</v>
      </c>
      <c r="AB171" s="13"/>
    </row>
    <row r="172" spans="1:28" s="15" customFormat="1" ht="15">
      <c r="A172" s="102" t="s">
        <v>283</v>
      </c>
      <c r="B172" s="23" t="s">
        <v>284</v>
      </c>
      <c r="C172" s="34">
        <v>0</v>
      </c>
      <c r="D172" s="39"/>
      <c r="E172" s="39">
        <v>0</v>
      </c>
      <c r="F172" s="38">
        <v>0</v>
      </c>
      <c r="G172" s="38">
        <v>0</v>
      </c>
      <c r="H172" s="38"/>
      <c r="I172" s="38">
        <v>0</v>
      </c>
      <c r="J172" s="38">
        <v>0</v>
      </c>
      <c r="K172" s="38">
        <v>0</v>
      </c>
      <c r="L172" s="38"/>
      <c r="M172" s="38"/>
      <c r="N172" s="38"/>
      <c r="O172" s="38"/>
      <c r="P172" s="38"/>
      <c r="Q172" s="87">
        <f t="shared" si="59"/>
        <v>0</v>
      </c>
      <c r="R172" s="88" t="e">
        <f>+Q172/(C172+D172)</f>
        <v>#DIV/0!</v>
      </c>
      <c r="S172" s="87">
        <f t="shared" si="65"/>
        <v>0</v>
      </c>
      <c r="T172" s="88" t="e">
        <f t="shared" si="66"/>
        <v>#DIV/0!</v>
      </c>
      <c r="U172" s="87">
        <f t="shared" si="60"/>
        <v>0</v>
      </c>
      <c r="V172" s="88" t="e">
        <f>+U172/D172</f>
        <v>#DIV/0!</v>
      </c>
      <c r="AB172" s="13"/>
    </row>
    <row r="173" spans="1:28" s="15" customFormat="1" ht="15">
      <c r="A173" s="102" t="s">
        <v>168</v>
      </c>
      <c r="B173" s="23" t="s">
        <v>169</v>
      </c>
      <c r="C173" s="34">
        <v>0</v>
      </c>
      <c r="D173" s="39"/>
      <c r="E173" s="39">
        <v>0</v>
      </c>
      <c r="F173" s="38">
        <v>0</v>
      </c>
      <c r="G173" s="38">
        <v>0</v>
      </c>
      <c r="H173" s="38"/>
      <c r="I173" s="38">
        <v>0</v>
      </c>
      <c r="J173" s="38">
        <v>0</v>
      </c>
      <c r="K173" s="38">
        <v>0</v>
      </c>
      <c r="L173" s="38"/>
      <c r="M173" s="38"/>
      <c r="N173" s="38"/>
      <c r="O173" s="38"/>
      <c r="P173" s="38"/>
      <c r="Q173" s="87">
        <f t="shared" si="59"/>
        <v>0</v>
      </c>
      <c r="R173" s="88" t="e">
        <f aca="true" t="shared" si="67" ref="R173:R178">+Q173/C173</f>
        <v>#DIV/0!</v>
      </c>
      <c r="S173" s="87">
        <f t="shared" si="65"/>
        <v>0</v>
      </c>
      <c r="T173" s="88" t="e">
        <f t="shared" si="66"/>
        <v>#DIV/0!</v>
      </c>
      <c r="U173" s="87">
        <f t="shared" si="60"/>
        <v>0</v>
      </c>
      <c r="V173" s="88" t="e">
        <f aca="true" t="shared" si="68" ref="V173:V178">+U173/C173</f>
        <v>#DIV/0!</v>
      </c>
      <c r="AB173" s="13"/>
    </row>
    <row r="174" spans="1:28" s="15" customFormat="1" ht="15">
      <c r="A174" s="20" t="s">
        <v>135</v>
      </c>
      <c r="B174" s="20" t="s">
        <v>154</v>
      </c>
      <c r="C174" s="66">
        <f>+C175</f>
        <v>0</v>
      </c>
      <c r="D174" s="66">
        <f>+D175</f>
        <v>21770383.22</v>
      </c>
      <c r="E174" s="66">
        <f aca="true" t="shared" si="69" ref="E174:P174">+E175</f>
        <v>0</v>
      </c>
      <c r="F174" s="66">
        <f t="shared" si="69"/>
        <v>0</v>
      </c>
      <c r="G174" s="66">
        <f t="shared" si="69"/>
        <v>0</v>
      </c>
      <c r="H174" s="66">
        <f>+H175</f>
        <v>0</v>
      </c>
      <c r="I174" s="66">
        <f t="shared" si="69"/>
        <v>0</v>
      </c>
      <c r="J174" s="66">
        <f t="shared" si="69"/>
        <v>0</v>
      </c>
      <c r="K174" s="66">
        <f t="shared" si="69"/>
        <v>0</v>
      </c>
      <c r="L174" s="66">
        <f t="shared" si="69"/>
        <v>0</v>
      </c>
      <c r="M174" s="66">
        <f t="shared" si="69"/>
        <v>0</v>
      </c>
      <c r="N174" s="66">
        <f t="shared" si="69"/>
        <v>0</v>
      </c>
      <c r="O174" s="66">
        <f t="shared" si="69"/>
        <v>0</v>
      </c>
      <c r="P174" s="66">
        <f t="shared" si="69"/>
        <v>0</v>
      </c>
      <c r="Q174" s="70">
        <f>SUM(E174:P174)</f>
        <v>0</v>
      </c>
      <c r="R174" s="71" t="e">
        <f t="shared" si="67"/>
        <v>#DIV/0!</v>
      </c>
      <c r="S174" s="70">
        <f t="shared" si="65"/>
        <v>0</v>
      </c>
      <c r="T174" s="71" t="e">
        <f t="shared" si="66"/>
        <v>#DIV/0!</v>
      </c>
      <c r="U174" s="70">
        <f>+U175</f>
        <v>21770383.22</v>
      </c>
      <c r="V174" s="72" t="e">
        <f t="shared" si="68"/>
        <v>#DIV/0!</v>
      </c>
      <c r="AB174" s="13"/>
    </row>
    <row r="175" spans="1:28" s="15" customFormat="1" ht="15">
      <c r="A175" s="102" t="s">
        <v>121</v>
      </c>
      <c r="B175" s="23" t="s">
        <v>122</v>
      </c>
      <c r="C175" s="34">
        <v>0</v>
      </c>
      <c r="D175" s="39">
        <v>21770383.22</v>
      </c>
      <c r="E175" s="39">
        <v>0</v>
      </c>
      <c r="F175" s="38">
        <v>0</v>
      </c>
      <c r="G175" s="38">
        <v>0</v>
      </c>
      <c r="H175" s="38"/>
      <c r="I175" s="38">
        <v>0</v>
      </c>
      <c r="J175" s="38">
        <v>0</v>
      </c>
      <c r="K175" s="38">
        <v>0</v>
      </c>
      <c r="L175" s="38"/>
      <c r="M175" s="38"/>
      <c r="N175" s="38"/>
      <c r="O175" s="38"/>
      <c r="P175" s="38"/>
      <c r="Q175" s="87">
        <f t="shared" si="59"/>
        <v>0</v>
      </c>
      <c r="R175" s="88" t="e">
        <f t="shared" si="67"/>
        <v>#DIV/0!</v>
      </c>
      <c r="S175" s="87">
        <f t="shared" si="65"/>
        <v>0</v>
      </c>
      <c r="T175" s="88" t="e">
        <f t="shared" si="66"/>
        <v>#DIV/0!</v>
      </c>
      <c r="U175" s="87">
        <f t="shared" si="60"/>
        <v>21770383.22</v>
      </c>
      <c r="V175" s="88" t="e">
        <f t="shared" si="68"/>
        <v>#DIV/0!</v>
      </c>
      <c r="AB175" s="13"/>
    </row>
    <row r="176" spans="1:28" s="15" customFormat="1" ht="15">
      <c r="A176" s="20" t="s">
        <v>152</v>
      </c>
      <c r="B176" s="8" t="s">
        <v>153</v>
      </c>
      <c r="C176" s="66">
        <f>+C177</f>
        <v>320000</v>
      </c>
      <c r="D176" s="66">
        <f>+D177</f>
        <v>0</v>
      </c>
      <c r="E176" s="66">
        <f aca="true" t="shared" si="70" ref="E176:N176">+E177</f>
        <v>160000</v>
      </c>
      <c r="F176" s="66">
        <f t="shared" si="70"/>
        <v>0</v>
      </c>
      <c r="G176" s="66">
        <f t="shared" si="70"/>
        <v>0</v>
      </c>
      <c r="H176" s="66">
        <f t="shared" si="70"/>
        <v>0</v>
      </c>
      <c r="I176" s="66">
        <f t="shared" si="70"/>
        <v>0</v>
      </c>
      <c r="J176" s="66">
        <f t="shared" si="70"/>
        <v>0</v>
      </c>
      <c r="K176" s="66">
        <f t="shared" si="70"/>
        <v>0</v>
      </c>
      <c r="L176" s="66">
        <f t="shared" si="70"/>
        <v>0</v>
      </c>
      <c r="M176" s="66">
        <f t="shared" si="70"/>
        <v>0</v>
      </c>
      <c r="N176" s="66">
        <f t="shared" si="70"/>
        <v>0</v>
      </c>
      <c r="O176" s="66">
        <f>+O177</f>
        <v>0</v>
      </c>
      <c r="P176" s="66">
        <f>+P177</f>
        <v>0</v>
      </c>
      <c r="Q176" s="70">
        <f>SUM(E176:P176)</f>
        <v>160000</v>
      </c>
      <c r="R176" s="71">
        <f t="shared" si="67"/>
        <v>0.5</v>
      </c>
      <c r="S176" s="70">
        <f t="shared" si="65"/>
        <v>160000</v>
      </c>
      <c r="T176" s="71">
        <f t="shared" si="66"/>
        <v>0.5</v>
      </c>
      <c r="U176" s="70">
        <f>+U177</f>
        <v>160000</v>
      </c>
      <c r="V176" s="72">
        <f t="shared" si="68"/>
        <v>0.5</v>
      </c>
      <c r="AB176" s="13"/>
    </row>
    <row r="177" spans="1:28" s="15" customFormat="1" ht="15">
      <c r="A177" s="102" t="s">
        <v>156</v>
      </c>
      <c r="B177" s="23" t="s">
        <v>155</v>
      </c>
      <c r="C177" s="34">
        <v>320000</v>
      </c>
      <c r="D177" s="39"/>
      <c r="E177" s="39">
        <v>160000</v>
      </c>
      <c r="F177" s="38">
        <v>0</v>
      </c>
      <c r="G177" s="38">
        <v>0</v>
      </c>
      <c r="H177" s="38"/>
      <c r="I177" s="38">
        <v>0</v>
      </c>
      <c r="J177" s="38">
        <v>0</v>
      </c>
      <c r="K177" s="38">
        <v>0</v>
      </c>
      <c r="L177" s="38"/>
      <c r="M177" s="38"/>
      <c r="N177" s="38"/>
      <c r="O177" s="38"/>
      <c r="P177" s="38"/>
      <c r="Q177" s="87">
        <f>SUM(E177:P177)</f>
        <v>160000</v>
      </c>
      <c r="R177" s="88">
        <f t="shared" si="67"/>
        <v>0.5</v>
      </c>
      <c r="S177" s="87">
        <f t="shared" si="65"/>
        <v>160000</v>
      </c>
      <c r="T177" s="88">
        <f t="shared" si="66"/>
        <v>0.5</v>
      </c>
      <c r="U177" s="87">
        <f t="shared" si="60"/>
        <v>160000</v>
      </c>
      <c r="V177" s="88">
        <f t="shared" si="68"/>
        <v>0.5</v>
      </c>
      <c r="AB177" s="13"/>
    </row>
    <row r="178" spans="1:28" s="16" customFormat="1" ht="15.75">
      <c r="A178" s="129" t="s">
        <v>274</v>
      </c>
      <c r="B178" s="129"/>
      <c r="C178" s="73">
        <f>+C15+C20+C26+C30+C33+C41+C44+C46+C49+C53+C55+C64+C74+C79+C90+C95+C100+C103+C108+C115+C129+C142+C158+C165+C168+C171+C174+C176</f>
        <v>1773049739.9999998</v>
      </c>
      <c r="D178" s="73">
        <f>+D15+D20+D26+D30+D33+D41+D44+D46+D49+D53+D55+D64+D74+D79+D90+D95+D100+D103+D108+D115+D129+D142+D158+D165+D168+D171+D174+D176</f>
        <v>65567316.449999996</v>
      </c>
      <c r="E178" s="73">
        <f>+E15+E20+E26+E30+E33+E41+E44+E46+E49+E53+E55+E64+E74+E79+E90+E95+E100+E103+E108+E115+E129+E142+E158+E165+E168+E171+E174+E176</f>
        <v>138636322.07000002</v>
      </c>
      <c r="F178" s="73">
        <f>+F15+F20+F26+F30+F33+F41+F44+F46+F49+F53+F55+F64+F74+F79+F90+F95+F100+F103+F108+F115+F129+F142+F158+F165+F168+F171+F174+F176</f>
        <v>134809057.16</v>
      </c>
      <c r="G178" s="73">
        <f>+G15+G20+G26+G30+G33+G41+G44+G46+G49+G53+G55+G64+G74+G79+G90+G95+G100+G103+G108+G115+G129+G142+G158+G165+G168+G171+G174+G176</f>
        <v>243238847.34</v>
      </c>
      <c r="H178" s="73">
        <f>+H163+H158+H142+H129+H115+H108+H103+H100+H90+H79+H74+H64+H55+H53+H49+H46+H44+H41+H33+H30+H26+H20+H15</f>
        <v>129944630.64</v>
      </c>
      <c r="I178" s="73">
        <f aca="true" t="shared" si="71" ref="I178:P178">+I15+I20+I26+I30+I33+I41+I44+I46+I49+I53+I55+I64+I74+I79+I90+I95+I100+I103+I108+I115+I129+I142+I158+I165+I168+I171+I174+I176</f>
        <v>131666036.92000002</v>
      </c>
      <c r="J178" s="73">
        <f t="shared" si="71"/>
        <v>134749988.38</v>
      </c>
      <c r="K178" s="73">
        <f t="shared" si="71"/>
        <v>146805094.66</v>
      </c>
      <c r="L178" s="73">
        <f t="shared" si="71"/>
        <v>0</v>
      </c>
      <c r="M178" s="73">
        <f t="shared" si="71"/>
        <v>0</v>
      </c>
      <c r="N178" s="73">
        <f t="shared" si="71"/>
        <v>0</v>
      </c>
      <c r="O178" s="73">
        <f t="shared" si="71"/>
        <v>0</v>
      </c>
      <c r="P178" s="73">
        <f t="shared" si="71"/>
        <v>0</v>
      </c>
      <c r="Q178" s="74">
        <f>SUM(E178:P178)</f>
        <v>1059849977.1700001</v>
      </c>
      <c r="R178" s="75">
        <f t="shared" si="67"/>
        <v>0.5977553552276543</v>
      </c>
      <c r="S178" s="76" t="e">
        <f>+S158+#REF!+S142+S129+S115+#REF!+#REF!+#REF!+S103+S79+S74+S55+S53+S49+S46+S44+S41+S33+S15+S90</f>
        <v>#REF!</v>
      </c>
      <c r="T178" s="75" t="e">
        <f t="shared" si="66"/>
        <v>#REF!</v>
      </c>
      <c r="U178" s="80">
        <f>+C178-Q178</f>
        <v>713199762.8299997</v>
      </c>
      <c r="V178" s="77">
        <f t="shared" si="68"/>
        <v>0.4022446447723456</v>
      </c>
      <c r="W178" s="91"/>
      <c r="AB178" s="98"/>
    </row>
    <row r="179" spans="3:22" s="17" customFormat="1" ht="15">
      <c r="C179" s="60">
        <v>1773049740</v>
      </c>
      <c r="D179" s="60"/>
      <c r="E179" s="18">
        <f>+(E178/(C178+D178))*100%</f>
        <v>0.07540249971229948</v>
      </c>
      <c r="F179" s="18">
        <f>+(F178/(D178+C178))*100%</f>
        <v>0.07332089990521963</v>
      </c>
      <c r="G179" s="18">
        <f>+(G178/(C178+D178))*100%</f>
        <v>0.13229445821069744</v>
      </c>
      <c r="H179" s="18">
        <f>+(H178/(C178+D178))*100%</f>
        <v>0.07067520133360286</v>
      </c>
      <c r="I179" s="18">
        <f>+(I178/(C178+D178))*100%</f>
        <v>0.07161145191061193</v>
      </c>
      <c r="J179" s="18">
        <f>+(J178/(C178+D178))*100%</f>
        <v>0.0732887731609404</v>
      </c>
      <c r="K179" s="18">
        <f>+(K178/(C178+D178))*100%</f>
        <v>0.07984538930768495</v>
      </c>
      <c r="L179" s="18">
        <f>+(L178/(C178+D178))*100%</f>
        <v>0</v>
      </c>
      <c r="M179" s="18">
        <f>+(M178/(C178+D178))*100%</f>
        <v>0</v>
      </c>
      <c r="N179" s="18">
        <f>+(N178/(C178+D178))*100%</f>
        <v>0</v>
      </c>
      <c r="O179" s="18">
        <f>+(O178/(C178+D178))*100%</f>
        <v>0</v>
      </c>
      <c r="P179" s="18">
        <f>+(P178/(C178+D178))*100%</f>
        <v>0</v>
      </c>
      <c r="Q179" s="18"/>
      <c r="R179" s="18"/>
      <c r="S179" s="18"/>
      <c r="T179" s="18"/>
      <c r="U179" s="18"/>
      <c r="V179" s="19"/>
    </row>
    <row r="180" spans="2:22" s="17" customFormat="1" ht="15">
      <c r="B180" s="108"/>
      <c r="C180" s="60">
        <f>+C178-C179</f>
        <v>0</v>
      </c>
      <c r="D180" s="60"/>
      <c r="E180" s="19"/>
      <c r="F180" s="19"/>
      <c r="G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81"/>
      <c r="U180" s="19"/>
      <c r="V180" s="19"/>
    </row>
    <row r="181" spans="3:22" s="17" customFormat="1" ht="15">
      <c r="C181" s="60"/>
      <c r="D181" s="60"/>
      <c r="E181" s="19"/>
      <c r="F181" s="19"/>
      <c r="G181" s="19"/>
      <c r="H181" s="19"/>
      <c r="I181" s="19"/>
      <c r="J181" s="19"/>
      <c r="K181" s="19"/>
      <c r="M181" s="19"/>
      <c r="N181" s="19"/>
      <c r="O181" s="19"/>
      <c r="P181" s="19"/>
      <c r="Q181" s="19"/>
      <c r="R181" s="19"/>
      <c r="S181" s="19"/>
      <c r="T181" s="81"/>
      <c r="U181" s="19"/>
      <c r="V181" s="19"/>
    </row>
    <row r="182" spans="3:22" s="17" customFormat="1" ht="15">
      <c r="C182" s="60"/>
      <c r="D182" s="6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81"/>
      <c r="U182" s="19"/>
      <c r="V182" s="19"/>
    </row>
    <row r="183" spans="3:22" s="17" customFormat="1" ht="15">
      <c r="C183" s="60"/>
      <c r="D183" s="60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81"/>
      <c r="U183" s="19"/>
      <c r="V183" s="19"/>
    </row>
    <row r="184" spans="3:22" s="17" customFormat="1" ht="15">
      <c r="C184" s="60"/>
      <c r="D184" s="60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81"/>
      <c r="U184" s="19"/>
      <c r="V184" s="19"/>
    </row>
    <row r="185" spans="1:28" ht="15">
      <c r="A185" s="17"/>
      <c r="B185" s="17"/>
      <c r="D185" s="79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18"/>
      <c r="U185" s="21"/>
      <c r="V185" s="21"/>
      <c r="AB185" s="4"/>
    </row>
    <row r="186" spans="1:28" ht="15">
      <c r="A186" s="17"/>
      <c r="B186" s="17"/>
      <c r="D186" s="79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18"/>
      <c r="U186" s="21"/>
      <c r="V186" s="21"/>
      <c r="AB186" s="4"/>
    </row>
    <row r="187" spans="1:28" ht="15.75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AB187" s="4"/>
    </row>
    <row r="188" spans="3:5" s="17" customFormat="1" ht="15">
      <c r="C188" s="60"/>
      <c r="D188" s="60"/>
      <c r="E188" s="19"/>
    </row>
    <row r="189" spans="3:8" s="17" customFormat="1" ht="15">
      <c r="C189" s="60"/>
      <c r="D189" s="60"/>
      <c r="E189" s="19"/>
      <c r="H189" s="19"/>
    </row>
    <row r="190" spans="3:8" s="17" customFormat="1" ht="15">
      <c r="C190" s="60"/>
      <c r="D190" s="60"/>
      <c r="H190" s="19"/>
    </row>
    <row r="191" spans="3:8" s="17" customFormat="1" ht="15">
      <c r="C191" s="60"/>
      <c r="D191" s="60"/>
      <c r="H191" s="60"/>
    </row>
    <row r="192" spans="3:8" s="17" customFormat="1" ht="15">
      <c r="C192" s="60"/>
      <c r="D192" s="60"/>
      <c r="H192" s="60"/>
    </row>
    <row r="193" spans="3:28" ht="15">
      <c r="C193" s="60"/>
      <c r="D193" s="79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U193" s="4"/>
      <c r="V193" s="4"/>
      <c r="AB193" s="4"/>
    </row>
    <row r="194" spans="3:28" ht="15">
      <c r="C194" s="60"/>
      <c r="D194" s="7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U194" s="4"/>
      <c r="V194" s="4"/>
      <c r="AB194" s="4"/>
    </row>
    <row r="195" spans="3:28" ht="15">
      <c r="C195" s="60"/>
      <c r="D195" s="7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U195" s="4"/>
      <c r="V195" s="4"/>
      <c r="AB195" s="4"/>
    </row>
  </sheetData>
  <sheetProtection/>
  <mergeCells count="11">
    <mergeCell ref="E13:P13"/>
    <mergeCell ref="A178:B178"/>
    <mergeCell ref="A187:V187"/>
    <mergeCell ref="B13:B14"/>
    <mergeCell ref="B3:B4"/>
    <mergeCell ref="A5:V5"/>
    <mergeCell ref="A6:V6"/>
    <mergeCell ref="A7:V7"/>
    <mergeCell ref="A8:V8"/>
    <mergeCell ref="A13:A14"/>
    <mergeCell ref="A9:V9"/>
  </mergeCells>
  <printOptions/>
  <pageMargins left="0.17" right="0.17" top="0.31" bottom="0.55" header="0.17" footer="0.55"/>
  <pageSetup horizontalDpi="600" verticalDpi="600" orientation="landscape" paperSize="153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juan.melo</cp:lastModifiedBy>
  <cp:lastPrinted>2023-08-07T14:17:58Z</cp:lastPrinted>
  <dcterms:created xsi:type="dcterms:W3CDTF">2019-01-09T20:58:22Z</dcterms:created>
  <dcterms:modified xsi:type="dcterms:W3CDTF">2023-08-07T19:22:25Z</dcterms:modified>
  <cp:category/>
  <cp:version/>
  <cp:contentType/>
  <cp:contentStatus/>
</cp:coreProperties>
</file>