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<sst xmlns="http://schemas.openxmlformats.org/spreadsheetml/2006/main" count="791" uniqueCount="363">
  <si>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</si>
  <si>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</si>
  <si>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</si>
  <si>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</si>
  <si>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</si>
  <si>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</si>
  <si>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</si>
  <si>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</si>
  <si>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</si>
  <si>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</si>
  <si>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</si>
  <si>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</si>
  <si>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</si>
  <si>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</si>
  <si>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</si>
  <si>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</si>
  <si>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</si>
  <si>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</si>
  <si>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</si>
  <si>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</si>
  <si>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</si>
  <si>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</si>
  <si>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</si>
  <si>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</si>
  <si>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</si>
  <si>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</si>
  <si>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</si>
  <si>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</si>
  <si>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</si>
  <si>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</si>
  <si>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</si>
  <si>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</si>
  <si>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</si>
  <si>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</si>
  <si>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</si>
  <si>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</si>
  <si>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</si>
  <si>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</si>
  <si>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</si>
  <si>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</si>
  <si>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</si>
  <si>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</si>
  <si>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</si>
  <si>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</si>
  <si>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</si>
  <si>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</si>
  <si>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</si>
  <si>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</si>
  <si>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</si>
  <si>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</si>
  <si>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</si>
  <si>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</si>
  <si>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</si>
  <si>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</si>
  <si>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</si>
  <si>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</si>
  <si>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</si>
  <si>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</si>
  <si>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</si>
  <si>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</si>
  <si>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</si>
  <si>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</si>
  <si>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</si>
  <si>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</si>
  <si>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</si>
  <si>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</si>
  <si>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</si>
  <si>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</si>
  <si>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</si>
  <si>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</si>
  <si>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</si>
  <si>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</si>
  <si>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</si>
  <si>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</si>
  <si>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</si>
  <si>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</si>
  <si>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</si>
  <si>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</si>
  <si>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</si>
  <si>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</si>
  <si>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</si>
  <si>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</si>
  <si>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</si>
  <si>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</si>
  <si>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</si>
  <si>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</si>
  <si>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</si>
  <si>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</si>
  <si>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</si>
  <si>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</si>
  <si>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</si>
  <si>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</si>
  <si>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</si>
  <si>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</si>
  <si>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</si>
  <si>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</si>
  <si>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</si>
  <si>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</si>
  <si>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</si>
  <si>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</si>
  <si>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</si>
  <si>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</si>
  <si>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</si>
  <si>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</si>
  <si>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</si>
  <si>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</si>
  <si>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</si>
  <si>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</si>
  <si>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</si>
  <si>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</si>
  <si>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</si>
  <si>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</si>
  <si>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</si>
  <si>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</si>
  <si>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</si>
  <si>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</si>
  <si>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</si>
  <si>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</si>
  <si>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</si>
  <si>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</si>
  <si>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</si>
  <si>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</si>
  <si>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</si>
  <si>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</si>
  <si>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</si>
  <si>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</si>
  <si>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</si>
  <si>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</si>
  <si>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</si>
  <si>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</si>
  <si>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</si>
  <si>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</si>
  <si>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</si>
  <si>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</si>
  <si>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</si>
  <si>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</si>
  <si>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</si>
  <si>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</si>
  <si>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</si>
  <si>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</si>
  <si>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</si>
  <si>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</si>
  <si>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</si>
  <si>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</si>
  <si>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</si>
  <si>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</si>
  <si>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</si>
  <si>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</si>
  <si>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</si>
  <si>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</si>
  <si>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</si>
  <si>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</si>
  <si>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</si>
  <si>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</si>
  <si>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</si>
  <si>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</si>
  <si>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</si>
  <si>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</si>
  <si>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</si>
  <si>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</si>
  <si>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</si>
  <si>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</si>
  <si>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</si>
  <si>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</si>
  <si>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</si>
  <si>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</si>
  <si>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</si>
  <si>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</si>
  <si>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</si>
  <si>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</si>
  <si>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</si>
  <si>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</si>
  <si>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</si>
  <si>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</si>
  <si>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</si>
  <si>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</si>
  <si>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</si>
  <si>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</si>
  <si>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</si>
  <si>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</si>
  <si>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</si>
  <si>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</si>
  <si>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</si>
  <si>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</si>
  <si>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</si>
  <si>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</si>
  <si>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</si>
  <si>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</si>
  <si>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</si>
  <si>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</si>
  <si>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</si>
  <si>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</si>
  <si>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</si>
  <si>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</si>
  <si>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</si>
  <si>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</si>
  <si>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</si>
  <si>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</si>
  <si>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</si>
  <si>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</si>
  <si>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</si>
  <si>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</si>
  <si>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</si>
  <si>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</si>
  <si>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</si>
  <si>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</si>
  <si>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</si>
  <si>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</si>
  <si>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</si>
  <si>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</si>
  <si>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</si>
  <si>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</si>
  <si>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</si>
  <si>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</si>
  <si>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</si>
  <si>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</si>
  <si>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</si>
  <si>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</si>
  <si>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</si>
  <si>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</si>
  <si>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</si>
  <si>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</si>
  <si>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</si>
  <si>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</si>
  <si>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</si>
  <si>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</si>
  <si>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</si>
  <si>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</si>
  <si>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</si>
  <si>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</si>
  <si>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</si>
  <si>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</si>
  <si>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</si>
  <si>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</si>
  <si>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</si>
  <si>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</si>
  <si>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</si>
  <si>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</si>
  <si>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</si>
  <si>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</si>
  <si>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</si>
  <si>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</si>
  <si>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</si>
  <si>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</si>
  <si>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</si>
  <si>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</si>
  <si>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</si>
  <si>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</si>
  <si>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</si>
  <si>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</si>
  <si>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</si>
  <si>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</si>
  <si>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</si>
  <si>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</si>
  <si>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</si>
  <si>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</si>
  <si>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</si>
  <si>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</si>
  <si>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</si>
  <si>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</si>
  <si>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</si>
  <si>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</si>
  <si>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</si>
  <si>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</si>
  <si>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</si>
  <si>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</si>
  <si>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</si>
  <si>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</si>
  <si>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</si>
  <si>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</si>
  <si>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</si>
  <si>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</si>
  <si>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</si>
  <si>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</si>
  <si>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</si>
  <si>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</si>
  <si>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</si>
  <si>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</si>
  <si>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</si>
  <si>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</si>
  <si>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</si>
  <si>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</si>
  <si>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</si>
  <si>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</si>
  <si>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</si>
  <si>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</si>
  <si>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</si>
  <si>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</si>
  <si>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</si>
  <si>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</si>
  <si>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</si>
  <si>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</si>
  <si>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</si>
  <si>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</si>
  <si>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</si>
  <si>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</si>
  <si>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</si>
  <si>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</si>
  <si>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</si>
  <si>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</si>
  <si>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</si>
  <si>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</si>
  <si>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</si>
  <si>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</si>
  <si>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</si>
  <si>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</si>
  <si>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</si>
  <si>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</si>
  <si>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</si>
  <si>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</si>
  <si>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</si>
  <si>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</si>
  <si>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</si>
  <si>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</si>
  <si>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</si>
  <si>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</si>
  <si>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</si>
  <si>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</si>
  <si>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</si>
  <si>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</si>
  <si>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</si>
  <si>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</si>
  <si>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</si>
  <si>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</si>
  <si>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</si>
  <si>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</si>
  <si>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</si>
  <si>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</si>
  <si>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</si>
  <si>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</si>
  <si>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</si>
  <si>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</si>
  <si>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</si>
  <si>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</si>
  <si>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</si>
  <si>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</si>
  <si>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</si>
  <si>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</si>
  <si>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</si>
  <si>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</si>
  <si>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</si>
  <si>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</si>
  <si>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</si>
  <si>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</si>
  <si>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</si>
  <si>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</si>
  <si>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</si>
  <si>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</si>
  <si>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</si>
  <si>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</si>
  <si>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</si>
  <si>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</si>
  <si>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</si>
  <si>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</si>
  <si>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</si>
  <si>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</si>
  <si>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</si>
  <si>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</si>
  <si>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</si>
  <si>
    <t>Servicios sanitarios médicos y veterinarios</t>
  </si>
  <si>
    <t>2.2.8.3.01</t>
  </si>
  <si>
    <t>Equipos y aparatos audiovisuales</t>
  </si>
  <si>
    <t>2.6.2.1.01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</si>
</sst>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19" xfId="58" applyFont="1" applyFill="1" applyBorder="1" applyAlignment="1">
      <alignment horizontal="center" vertical="center"/>
      <protection/>
    </xf>
    <xf numFmtId="0" fontId="26" fillId="10" borderId="20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5" fillId="10" borderId="21" xfId="0" applyFont="1" applyFill="1" applyBorder="1" applyAlignment="1">
      <alignment horizontal="center" vertical="center"/>
    </xf>
    <xf numFmtId="0" fontId="55" fillId="10" borderId="22" xfId="0" applyFont="1" applyFill="1" applyBorder="1" applyAlignment="1">
      <alignment horizontal="center" vertical="center"/>
    </xf>
    <xf numFmtId="0" fontId="55" fillId="10" borderId="2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46076157"/>
        <c:axId val="1203223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41181207"/>
        <c:axId val="35086544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76157"/>
        <c:crossesAt val="1"/>
        <c:crossBetween val="between"/>
        <c:dispUnits/>
      </c:valAx>
      <c:catAx>
        <c:axId val="411812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812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182</xdr:row>
      <xdr:rowOff>104775</xdr:rowOff>
    </xdr:from>
    <xdr:to>
      <xdr:col>10</xdr:col>
      <xdr:colOff>590550</xdr:colOff>
      <xdr:row>190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8080950"/>
          <a:ext cx="2619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8"/>
  <sheetViews>
    <sheetView tabSelected="1" zoomScale="85" zoomScaleNormal="85" zoomScaleSheetLayoutView="47" workbookViewId="0" topLeftCell="C175">
      <selection activeCell="A190" sqref="A190:V190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0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0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ht="21">
      <c r="A6" s="172" t="s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6.5" customHeight="1">
      <c r="A7" s="171" t="s">
        <v>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21">
      <c r="A8" s="172" t="s">
        <v>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22" ht="18.75">
      <c r="A9" s="171" t="s">
        <v>317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3" t="s">
        <v>4</v>
      </c>
      <c r="B13" s="168" t="s">
        <v>5</v>
      </c>
      <c r="C13" s="61" t="s">
        <v>221</v>
      </c>
      <c r="D13" s="126" t="s">
        <v>142</v>
      </c>
      <c r="E13" s="175" t="s">
        <v>286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4"/>
      <c r="B14" s="169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1266482146.33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98362724.53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874049440.97</v>
      </c>
      <c r="R15" s="68">
        <f aca="true" t="shared" si="1" ref="R15:R32">+Q15/(C15+D15)</f>
        <v>0.6871664525225707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397912305.36</v>
      </c>
      <c r="V15" s="68">
        <f aca="true" t="shared" si="3" ref="V15:V20">+U15/C15</f>
        <v>0.3141870625757075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>
        <v>81944315.03</v>
      </c>
      <c r="N16" s="38"/>
      <c r="O16" s="38"/>
      <c r="P16" s="38"/>
      <c r="Q16" s="87">
        <f>SUM(E16:P16)</f>
        <v>723101147.02</v>
      </c>
      <c r="R16" s="88">
        <f t="shared" si="1"/>
        <v>0.7431633377558282</v>
      </c>
      <c r="S16" s="87">
        <f aca="true" t="shared" si="4" ref="S16:S32">+C16-Q16</f>
        <v>247223584.98000002</v>
      </c>
      <c r="T16" s="88">
        <f t="shared" si="2"/>
        <v>0.254784379730723</v>
      </c>
      <c r="U16" s="87">
        <f>+C16+D16-Q16</f>
        <v>249903184.98000002</v>
      </c>
      <c r="V16" s="88">
        <f t="shared" si="3"/>
        <v>0.25754592945900506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>
        <v>16400000</v>
      </c>
      <c r="N17" s="38"/>
      <c r="O17" s="38"/>
      <c r="P17" s="38"/>
      <c r="Q17" s="87">
        <f aca="true" t="shared" si="5" ref="Q17:Q23">SUM(E17:P17)</f>
        <v>149780000</v>
      </c>
      <c r="R17" s="88">
        <f t="shared" si="1"/>
        <v>0.7784823284823285</v>
      </c>
      <c r="S17" s="87">
        <f t="shared" si="4"/>
        <v>39820000</v>
      </c>
      <c r="T17" s="88">
        <f t="shared" si="2"/>
        <v>0.2100210970464135</v>
      </c>
      <c r="U17" s="87">
        <f>+C17+D17-Q17</f>
        <v>42620000</v>
      </c>
      <c r="V17" s="88">
        <f t="shared" si="3"/>
        <v>0.224789029535865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1200000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>
        <v>18409.5</v>
      </c>
      <c r="N18" s="38"/>
      <c r="O18" s="38"/>
      <c r="P18" s="38"/>
      <c r="Q18" s="87">
        <f>SUM(E18:P18)</f>
        <v>1151043.9500000002</v>
      </c>
      <c r="R18" s="88">
        <f>+Q18/(C18+D18)</f>
        <v>0.9592032916666668</v>
      </c>
      <c r="S18" s="87" t="e">
        <f>+#REF!-Q18</f>
        <v>#REF!</v>
      </c>
      <c r="T18" s="88" t="e">
        <f>+S18/#REF!</f>
        <v>#REF!</v>
      </c>
      <c r="U18" s="87">
        <f>+C18+D18-Q18</f>
        <v>48956.049999999814</v>
      </c>
      <c r="V18" s="88">
        <f t="shared" si="3"/>
        <v>0.04079670833333318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>
        <v>0</v>
      </c>
      <c r="N19" s="38"/>
      <c r="O19" s="38"/>
      <c r="P19" s="38"/>
      <c r="Q19" s="87">
        <f t="shared" si="5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 t="shared" si="3"/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142680891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6" ref="G20:P20">+G21+G22+G23+G24+G25</f>
        <v>12482280</v>
      </c>
      <c r="H20" s="65">
        <f>+H21+H22+H23+H24+H25</f>
        <v>12432355.48</v>
      </c>
      <c r="I20" s="65">
        <f t="shared" si="6"/>
        <v>12464037.66</v>
      </c>
      <c r="J20" s="65">
        <f>+J21+J22+J23+J24+J25</f>
        <v>12437704</v>
      </c>
      <c r="K20" s="65">
        <f t="shared" si="6"/>
        <v>12482409.370000001</v>
      </c>
      <c r="L20" s="65">
        <f t="shared" si="6"/>
        <v>13363959.370000001</v>
      </c>
      <c r="M20" s="65">
        <f t="shared" si="6"/>
        <v>13105726.370000001</v>
      </c>
      <c r="N20" s="65">
        <f t="shared" si="6"/>
        <v>0</v>
      </c>
      <c r="O20" s="65">
        <f t="shared" si="6"/>
        <v>0</v>
      </c>
      <c r="P20" s="65">
        <f t="shared" si="6"/>
        <v>0</v>
      </c>
      <c r="Q20" s="67">
        <f>SUM(E20:P20)</f>
        <v>113441911.25000001</v>
      </c>
      <c r="R20" s="68">
        <f>+Q20/(C20+D20)</f>
        <v>0.7270943687278393</v>
      </c>
      <c r="S20" s="69">
        <f>SUM(S21:S37)</f>
        <v>131161325.80000003</v>
      </c>
      <c r="T20" s="68">
        <f>+S20/C20</f>
        <v>0.9192634338118902</v>
      </c>
      <c r="U20" s="70">
        <f>+U21+U22+U23+U24+U25</f>
        <v>42578979.75</v>
      </c>
      <c r="V20" s="68">
        <f t="shared" si="3"/>
        <v>0.2984210390864464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6940250*12-3378349-30000000-2500000-671000-4930000</f>
        <v>41803651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>
        <v>3600452</v>
      </c>
      <c r="N21" s="38"/>
      <c r="O21" s="38"/>
      <c r="P21" s="38"/>
      <c r="Q21" s="87">
        <f t="shared" si="5"/>
        <v>29513012.14</v>
      </c>
      <c r="R21" s="88">
        <f t="shared" si="1"/>
        <v>0.6631593470836809</v>
      </c>
      <c r="S21" s="87">
        <f t="shared" si="4"/>
        <v>12290638.86</v>
      </c>
      <c r="T21" s="88">
        <f t="shared" si="2"/>
        <v>0.29400874244213737</v>
      </c>
      <c r="U21" s="87">
        <f aca="true" t="shared" si="7" ref="U21:U32">+C21+D21-Q21</f>
        <v>14990638.86</v>
      </c>
      <c r="V21" s="88">
        <f aca="true" t="shared" si="8" ref="V21:V33">+U21/C21</f>
        <v>0.35859640250082464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1000000+1600000+1000000+320000+510000</f>
        <v>4430000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>
        <v>510000</v>
      </c>
      <c r="N22" s="38"/>
      <c r="O22" s="38"/>
      <c r="P22" s="38"/>
      <c r="Q22" s="87">
        <f t="shared" si="5"/>
        <v>4430000</v>
      </c>
      <c r="R22" s="88">
        <f t="shared" si="1"/>
        <v>1</v>
      </c>
      <c r="S22" s="87">
        <f t="shared" si="4"/>
        <v>0</v>
      </c>
      <c r="T22" s="88">
        <f t="shared" si="2"/>
        <v>0</v>
      </c>
      <c r="U22" s="87">
        <f t="shared" si="7"/>
        <v>0</v>
      </c>
      <c r="V22" s="88">
        <f t="shared" si="8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>
        <v>66500</v>
      </c>
      <c r="N23" s="38"/>
      <c r="O23" s="38"/>
      <c r="P23" s="38"/>
      <c r="Q23" s="87">
        <f t="shared" si="5"/>
        <v>598500</v>
      </c>
      <c r="R23" s="90">
        <f t="shared" si="1"/>
        <v>0.75</v>
      </c>
      <c r="S23" s="87">
        <f t="shared" si="4"/>
        <v>199500</v>
      </c>
      <c r="T23" s="88">
        <f t="shared" si="2"/>
        <v>0.25</v>
      </c>
      <c r="U23" s="87">
        <f t="shared" si="7"/>
        <v>199500</v>
      </c>
      <c r="V23" s="88">
        <f t="shared" si="8"/>
        <v>0.25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>
        <v>8168774.37</v>
      </c>
      <c r="N24" s="38"/>
      <c r="O24" s="38"/>
      <c r="P24" s="38"/>
      <c r="Q24" s="87">
        <f aca="true" t="shared" si="9" ref="Q24:Q32">SUM(E24:P24)</f>
        <v>72460399.11</v>
      </c>
      <c r="R24" s="88">
        <f t="shared" si="1"/>
        <v>0.7575637726969916</v>
      </c>
      <c r="S24" s="87">
        <f t="shared" si="4"/>
        <v>23188840.89</v>
      </c>
      <c r="T24" s="88">
        <f t="shared" si="2"/>
        <v>0.24243622730300837</v>
      </c>
      <c r="U24" s="87">
        <f t="shared" si="7"/>
        <v>23188840.89</v>
      </c>
      <c r="V24" s="88">
        <f t="shared" si="8"/>
        <v>0.24243622730300837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>
        <v>760000</v>
      </c>
      <c r="N25" s="38"/>
      <c r="O25" s="38"/>
      <c r="P25" s="38"/>
      <c r="Q25" s="87">
        <f t="shared" si="9"/>
        <v>6440000</v>
      </c>
      <c r="R25" s="88">
        <f>+Q25/(C25+D25)</f>
        <v>0.6052631578947368</v>
      </c>
      <c r="S25" s="87">
        <f>+C25-Q25</f>
        <v>-6440000</v>
      </c>
      <c r="T25" s="88" t="e">
        <f>+S25/C25</f>
        <v>#DIV/0!</v>
      </c>
      <c r="U25" s="87">
        <f>+C25+D25-Q25</f>
        <v>4200000</v>
      </c>
      <c r="V25" s="90">
        <f>+U25/D25</f>
        <v>0.39473684210526316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1468000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10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10"/>
        <v>155892.1</v>
      </c>
      <c r="M26" s="65">
        <f t="shared" si="10"/>
        <v>134209.7</v>
      </c>
      <c r="N26" s="65">
        <f t="shared" si="10"/>
        <v>0</v>
      </c>
      <c r="O26" s="65">
        <f t="shared" si="10"/>
        <v>0</v>
      </c>
      <c r="P26" s="65">
        <f t="shared" si="10"/>
        <v>0</v>
      </c>
      <c r="Q26" s="67">
        <f>SUM(E26:P26)</f>
        <v>1490440.3</v>
      </c>
      <c r="R26" s="68">
        <f>+Q26/(C26+D26)</f>
        <v>1.0152863079019074</v>
      </c>
      <c r="S26" s="69">
        <f>SUM(S28:S43)</f>
        <v>55000662.17000001</v>
      </c>
      <c r="T26" s="68">
        <f>+S26/C26</f>
        <v>37.466391123978205</v>
      </c>
      <c r="U26" s="70">
        <f>+U27+U28+U29</f>
        <v>7559.699999999895</v>
      </c>
      <c r="V26" s="68">
        <f>+U26/C26</f>
        <v>0.005149659400544888</v>
      </c>
      <c r="W26" s="3"/>
      <c r="X26" s="3"/>
      <c r="Y26" s="3"/>
      <c r="Z26" s="3"/>
      <c r="AA26" s="3"/>
      <c r="AB26" s="2"/>
    </row>
    <row r="27" spans="1:28" ht="15">
      <c r="A27" s="135" t="s">
        <v>336</v>
      </c>
      <c r="B27" s="58" t="s">
        <v>337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>
        <v>0</v>
      </c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1100000+100000+54000</f>
        <v>1254000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>
        <v>90336.56</v>
      </c>
      <c r="N28" s="38"/>
      <c r="O28" s="38"/>
      <c r="P28" s="38"/>
      <c r="Q28" s="87">
        <f t="shared" si="9"/>
        <v>1253159.09</v>
      </c>
      <c r="R28" s="88">
        <f t="shared" si="1"/>
        <v>0.999329417862839</v>
      </c>
      <c r="S28" s="87">
        <f t="shared" si="4"/>
        <v>840.9099999999162</v>
      </c>
      <c r="T28" s="88">
        <f t="shared" si="2"/>
        <v>0.0006705821371610176</v>
      </c>
      <c r="U28" s="87">
        <f t="shared" si="7"/>
        <v>840.9099999999162</v>
      </c>
      <c r="V28" s="88">
        <f t="shared" si="8"/>
        <v>0.0006705821371610176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f>200000+14000</f>
        <v>214000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>
        <v>43873.14</v>
      </c>
      <c r="N29" s="38"/>
      <c r="O29" s="38"/>
      <c r="P29" s="38"/>
      <c r="Q29" s="87">
        <f t="shared" si="9"/>
        <v>213281.21000000002</v>
      </c>
      <c r="R29" s="88">
        <f t="shared" si="1"/>
        <v>0.9966411682242992</v>
      </c>
      <c r="S29" s="87">
        <f t="shared" si="4"/>
        <v>718.789999999979</v>
      </c>
      <c r="T29" s="88">
        <f t="shared" si="2"/>
        <v>0.0033588317757008365</v>
      </c>
      <c r="U29" s="87">
        <f t="shared" si="7"/>
        <v>718.789999999979</v>
      </c>
      <c r="V29" s="88">
        <f t="shared" si="8"/>
        <v>0.0033588317757008365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1" ref="G30:P30">+G31+G32</f>
        <v>2206989.02</v>
      </c>
      <c r="H30" s="65">
        <f>+H31+H32</f>
        <v>2196168.5</v>
      </c>
      <c r="I30" s="65">
        <f t="shared" si="11"/>
        <v>2158163.64</v>
      </c>
      <c r="J30" s="65">
        <f>+J31+J32</f>
        <v>2179543.33</v>
      </c>
      <c r="K30" s="65">
        <f t="shared" si="11"/>
        <v>2157798.57</v>
      </c>
      <c r="L30" s="65">
        <f t="shared" si="11"/>
        <v>2158084.25</v>
      </c>
      <c r="M30" s="65">
        <f t="shared" si="11"/>
        <v>2263049.55</v>
      </c>
      <c r="N30" s="65">
        <f t="shared" si="11"/>
        <v>0</v>
      </c>
      <c r="O30" s="65">
        <f t="shared" si="11"/>
        <v>0</v>
      </c>
      <c r="P30" s="65">
        <f t="shared" si="11"/>
        <v>0</v>
      </c>
      <c r="Q30" s="67">
        <f>SUM(E30:P30)</f>
        <v>19648484.970000003</v>
      </c>
      <c r="R30" s="68">
        <f t="shared" si="1"/>
        <v>0.7218221076028749</v>
      </c>
      <c r="S30" s="69">
        <f>SUM(S31:S46)</f>
        <v>27939846.39</v>
      </c>
      <c r="T30" s="68">
        <f t="shared" si="2"/>
        <v>1.0521795436119852</v>
      </c>
      <c r="U30" s="70">
        <f>+U31+U32</f>
        <v>7572189.990000002</v>
      </c>
      <c r="V30" s="68">
        <f t="shared" si="8"/>
        <v>0.2851591700472998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>
        <v>1935248.88</v>
      </c>
      <c r="N31" s="38"/>
      <c r="O31" s="38"/>
      <c r="P31" s="38"/>
      <c r="Q31" s="87">
        <f>SUM(E31:P31)</f>
        <v>16805526.88</v>
      </c>
      <c r="R31" s="88">
        <f t="shared" si="1"/>
        <v>0.7216191021098718</v>
      </c>
      <c r="S31" s="87">
        <f t="shared" si="4"/>
        <v>5913160.280000001</v>
      </c>
      <c r="T31" s="88">
        <f t="shared" si="2"/>
        <v>0.26027737599253076</v>
      </c>
      <c r="U31" s="87">
        <f t="shared" si="7"/>
        <v>6483112.280000001</v>
      </c>
      <c r="V31" s="88">
        <f t="shared" si="8"/>
        <v>0.28536474112001464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>
        <v>327800.67</v>
      </c>
      <c r="N32" s="38"/>
      <c r="O32" s="38"/>
      <c r="P32" s="38"/>
      <c r="Q32" s="87">
        <f t="shared" si="9"/>
        <v>2842958.09</v>
      </c>
      <c r="R32" s="88">
        <f t="shared" si="1"/>
        <v>0.723024467376416</v>
      </c>
      <c r="S32" s="87">
        <f t="shared" si="4"/>
        <v>992612.1100000003</v>
      </c>
      <c r="T32" s="88">
        <f t="shared" si="2"/>
        <v>0.2587912769788441</v>
      </c>
      <c r="U32" s="87">
        <f t="shared" si="7"/>
        <v>1089077.7100000004</v>
      </c>
      <c r="V32" s="88">
        <f t="shared" si="8"/>
        <v>0.2839415401652668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58997081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2" ref="G33:P33">+G35+G36+G37+G38+G39+G40</f>
        <v>4747549.72</v>
      </c>
      <c r="H33" s="66">
        <f>+H35+H36+H37+H38+H39+H40</f>
        <v>4684017.65</v>
      </c>
      <c r="I33" s="66">
        <f t="shared" si="12"/>
        <v>5079639.26</v>
      </c>
      <c r="J33" s="66">
        <f>+J35+J36+J37+J38+J39+J40</f>
        <v>2614948</v>
      </c>
      <c r="K33" s="66">
        <f t="shared" si="12"/>
        <v>8017344.37</v>
      </c>
      <c r="L33" s="66">
        <f t="shared" si="12"/>
        <v>2748350.6799999997</v>
      </c>
      <c r="M33" s="66">
        <f t="shared" si="12"/>
        <v>9592027.850000001</v>
      </c>
      <c r="N33" s="66">
        <f t="shared" si="12"/>
        <v>0</v>
      </c>
      <c r="O33" s="66">
        <f t="shared" si="12"/>
        <v>0</v>
      </c>
      <c r="P33" s="66">
        <f t="shared" si="12"/>
        <v>0</v>
      </c>
      <c r="Q33" s="70">
        <f>SUM(E33:P33)</f>
        <v>46931138.13999999</v>
      </c>
      <c r="R33" s="71">
        <f>+Q33/C33</f>
        <v>0.7954823754754916</v>
      </c>
      <c r="S33" s="70">
        <f>SUM(S37:S40)</f>
        <v>7289529.630000001</v>
      </c>
      <c r="T33" s="71">
        <f t="shared" si="2"/>
        <v>0.12355746261412494</v>
      </c>
      <c r="U33" s="70">
        <f>+U35+U36+U37+U38+U39+U40</f>
        <v>12065942.860000001</v>
      </c>
      <c r="V33" s="68">
        <f t="shared" si="8"/>
        <v>0.20451762452450828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>
        <v>0</v>
      </c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>
        <v>2457129.89</v>
      </c>
      <c r="N36" s="38"/>
      <c r="O36" s="38"/>
      <c r="P36" s="38"/>
      <c r="Q36" s="87">
        <f aca="true" t="shared" si="13" ref="Q36:Q61">SUM(E36:P36)</f>
        <v>16263939.89</v>
      </c>
      <c r="R36" s="88">
        <f aca="true" t="shared" si="14" ref="R36:R41">+Q36/C36</f>
        <v>0.7763217131264917</v>
      </c>
      <c r="S36" s="87">
        <f aca="true" t="shared" si="15" ref="S36:S68">+C36-Q36</f>
        <v>4686060.109999999</v>
      </c>
      <c r="T36" s="88">
        <f aca="true" t="shared" si="16" ref="T36:T68">+S36/C36</f>
        <v>0.22367828687350833</v>
      </c>
      <c r="U36" s="87">
        <f aca="true" t="shared" si="17" ref="U36:U61">+C36+D36-Q36</f>
        <v>4686060.109999999</v>
      </c>
      <c r="V36" s="88">
        <f aca="true" t="shared" si="18" ref="V36:V51">+U36/C36</f>
        <v>0.22367828687350833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277000*12+2000000+170000</f>
        <v>5494000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>
        <v>594628.08</v>
      </c>
      <c r="N37" s="38"/>
      <c r="O37" s="38"/>
      <c r="P37" s="38"/>
      <c r="Q37" s="87">
        <f t="shared" si="13"/>
        <v>5491437.46</v>
      </c>
      <c r="R37" s="88">
        <f t="shared" si="14"/>
        <v>0.9995335748088824</v>
      </c>
      <c r="S37" s="87">
        <f t="shared" si="15"/>
        <v>2562.5400000000373</v>
      </c>
      <c r="T37" s="88">
        <f t="shared" si="16"/>
        <v>0.0004664251911175896</v>
      </c>
      <c r="U37" s="87">
        <f t="shared" si="17"/>
        <v>2562.5400000000373</v>
      </c>
      <c r="V37" s="88">
        <f t="shared" si="18"/>
        <v>0.0004664251911175896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>
        <v>6524182.83</v>
      </c>
      <c r="N38" s="38"/>
      <c r="O38" s="38"/>
      <c r="P38" s="38"/>
      <c r="Q38" s="87">
        <f t="shared" si="13"/>
        <v>24649237.47</v>
      </c>
      <c r="R38" s="88">
        <f>+Q38/(C38+D38)</f>
        <v>0.7735501274890844</v>
      </c>
      <c r="S38" s="87">
        <f t="shared" si="15"/>
        <v>7215843.530000001</v>
      </c>
      <c r="T38" s="88">
        <f t="shared" si="16"/>
        <v>0.22644987251091567</v>
      </c>
      <c r="U38" s="87">
        <f t="shared" si="17"/>
        <v>7215843.530000001</v>
      </c>
      <c r="V38" s="88">
        <f t="shared" si="18"/>
        <v>0.22644987251091567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>
        <v>11289.05</v>
      </c>
      <c r="N39" s="38"/>
      <c r="O39" s="38"/>
      <c r="P39" s="38"/>
      <c r="Q39" s="87">
        <f t="shared" si="13"/>
        <v>176547.43999999997</v>
      </c>
      <c r="R39" s="88">
        <f t="shared" si="14"/>
        <v>0.7356143333333333</v>
      </c>
      <c r="S39" s="87">
        <f t="shared" si="15"/>
        <v>63452.56000000003</v>
      </c>
      <c r="T39" s="88">
        <f t="shared" si="16"/>
        <v>0.2643856666666668</v>
      </c>
      <c r="U39" s="87">
        <f t="shared" si="17"/>
        <v>63452.56000000003</v>
      </c>
      <c r="V39" s="88">
        <f t="shared" si="18"/>
        <v>0.2643856666666668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>
        <v>4798</v>
      </c>
      <c r="N40" s="38"/>
      <c r="O40" s="38"/>
      <c r="P40" s="38"/>
      <c r="Q40" s="87">
        <f t="shared" si="13"/>
        <v>40329</v>
      </c>
      <c r="R40" s="88">
        <f t="shared" si="14"/>
        <v>0.8401875</v>
      </c>
      <c r="S40" s="87">
        <f t="shared" si="15"/>
        <v>7671</v>
      </c>
      <c r="T40" s="88">
        <f t="shared" si="16"/>
        <v>0.1598125</v>
      </c>
      <c r="U40" s="87">
        <f t="shared" si="17"/>
        <v>7671</v>
      </c>
      <c r="V40" s="88">
        <f t="shared" si="18"/>
        <v>0.1598125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9" ref="E41:P41">SUM(E43:E43)</f>
        <v>0</v>
      </c>
      <c r="F41" s="66">
        <f t="shared" si="19"/>
        <v>0</v>
      </c>
      <c r="G41" s="66">
        <f t="shared" si="19"/>
        <v>0</v>
      </c>
      <c r="H41" s="66">
        <f t="shared" si="19"/>
        <v>0</v>
      </c>
      <c r="I41" s="66">
        <f t="shared" si="19"/>
        <v>59495.8</v>
      </c>
      <c r="J41" s="66">
        <f t="shared" si="19"/>
        <v>1498.6</v>
      </c>
      <c r="K41" s="66">
        <f t="shared" si="19"/>
        <v>0</v>
      </c>
      <c r="L41" s="66">
        <f>+L42+L43</f>
        <v>0</v>
      </c>
      <c r="M41" s="66">
        <f t="shared" si="19"/>
        <v>0</v>
      </c>
      <c r="N41" s="66">
        <f t="shared" si="19"/>
        <v>0</v>
      </c>
      <c r="O41" s="66">
        <f t="shared" si="19"/>
        <v>0</v>
      </c>
      <c r="P41" s="66">
        <f t="shared" si="19"/>
        <v>0</v>
      </c>
      <c r="Q41" s="70">
        <f>SUM(E41:P41)</f>
        <v>60994.4</v>
      </c>
      <c r="R41" s="71">
        <f t="shared" si="14"/>
        <v>0.13259652173913045</v>
      </c>
      <c r="S41" s="70">
        <f t="shared" si="15"/>
        <v>399005.6</v>
      </c>
      <c r="T41" s="71">
        <f t="shared" si="16"/>
        <v>0.8674034782608695</v>
      </c>
      <c r="U41" s="70">
        <f>+C41+D41-Q41</f>
        <v>399005.6</v>
      </c>
      <c r="V41" s="68">
        <f t="shared" si="18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/>
      <c r="O42" s="38"/>
      <c r="P42" s="38"/>
      <c r="Q42" s="87">
        <f t="shared" si="13"/>
        <v>0</v>
      </c>
      <c r="R42" s="88">
        <f>+Q42/(D42+C42)</f>
        <v>0</v>
      </c>
      <c r="S42" s="87">
        <f t="shared" si="15"/>
        <v>360000</v>
      </c>
      <c r="T42" s="88">
        <f t="shared" si="16"/>
        <v>1</v>
      </c>
      <c r="U42" s="87">
        <f t="shared" si="17"/>
        <v>360000</v>
      </c>
      <c r="V42" s="88">
        <f t="shared" si="18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>
        <v>0</v>
      </c>
      <c r="N43" s="38"/>
      <c r="O43" s="38"/>
      <c r="P43" s="38"/>
      <c r="Q43" s="87">
        <f t="shared" si="13"/>
        <v>60994.4</v>
      </c>
      <c r="R43" s="88">
        <f>+Q43/(D43+C43)</f>
        <v>0.609944</v>
      </c>
      <c r="S43" s="87">
        <f t="shared" si="15"/>
        <v>39005.6</v>
      </c>
      <c r="T43" s="88">
        <f t="shared" si="16"/>
        <v>0.39005599999999996</v>
      </c>
      <c r="U43" s="87">
        <f t="shared" si="17"/>
        <v>39005.6</v>
      </c>
      <c r="V43" s="88">
        <f t="shared" si="18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20" ref="E44:P44">SUM(E45:E45)</f>
        <v>498600</v>
      </c>
      <c r="F44" s="66">
        <f t="shared" si="20"/>
        <v>567700</v>
      </c>
      <c r="G44" s="66">
        <f t="shared" si="20"/>
        <v>626600</v>
      </c>
      <c r="H44" s="66">
        <f>SUM(H45:H45)</f>
        <v>546700</v>
      </c>
      <c r="I44" s="66">
        <f t="shared" si="20"/>
        <v>643200</v>
      </c>
      <c r="J44" s="66">
        <f t="shared" si="20"/>
        <v>1018500</v>
      </c>
      <c r="K44" s="66">
        <f t="shared" si="20"/>
        <v>752100</v>
      </c>
      <c r="L44" s="66">
        <f t="shared" si="20"/>
        <v>849330</v>
      </c>
      <c r="M44" s="66">
        <f t="shared" si="20"/>
        <v>550580</v>
      </c>
      <c r="N44" s="66">
        <f t="shared" si="20"/>
        <v>0</v>
      </c>
      <c r="O44" s="66">
        <f t="shared" si="20"/>
        <v>0</v>
      </c>
      <c r="P44" s="66">
        <f t="shared" si="20"/>
        <v>0</v>
      </c>
      <c r="Q44" s="70">
        <f>SUM(E44:P44)</f>
        <v>6053310</v>
      </c>
      <c r="R44" s="71">
        <f aca="true" t="shared" si="21" ref="R44:R51">+Q44/C44</f>
        <v>0.945297957398963</v>
      </c>
      <c r="S44" s="70">
        <f t="shared" si="15"/>
        <v>350290</v>
      </c>
      <c r="T44" s="71">
        <f t="shared" si="16"/>
        <v>0.054702042601036914</v>
      </c>
      <c r="U44" s="70">
        <f>+C44+D44-Q44</f>
        <v>3248290</v>
      </c>
      <c r="V44" s="71">
        <f t="shared" si="18"/>
        <v>0.5072599787619464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>
        <v>550580</v>
      </c>
      <c r="N45" s="38"/>
      <c r="O45" s="38"/>
      <c r="P45" s="38"/>
      <c r="Q45" s="87">
        <f t="shared" si="13"/>
        <v>6053310</v>
      </c>
      <c r="R45" s="88">
        <f t="shared" si="21"/>
        <v>0.945297957398963</v>
      </c>
      <c r="S45" s="87">
        <f t="shared" si="15"/>
        <v>350290</v>
      </c>
      <c r="T45" s="88">
        <f t="shared" si="16"/>
        <v>0.054702042601036914</v>
      </c>
      <c r="U45" s="87">
        <f t="shared" si="17"/>
        <v>3248290</v>
      </c>
      <c r="V45" s="88">
        <f t="shared" si="18"/>
        <v>0.5072599787619464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2" ref="C46:I46">+C47+C48</f>
        <v>598010.31</v>
      </c>
      <c r="D46" s="66">
        <f>+D47+D48</f>
        <v>0</v>
      </c>
      <c r="E46" s="66">
        <f t="shared" si="22"/>
        <v>46000</v>
      </c>
      <c r="F46" s="66">
        <f t="shared" si="22"/>
        <v>42000</v>
      </c>
      <c r="G46" s="66">
        <f t="shared" si="22"/>
        <v>40000</v>
      </c>
      <c r="H46" s="66">
        <f>+H47+H48</f>
        <v>42000</v>
      </c>
      <c r="I46" s="66">
        <f t="shared" si="22"/>
        <v>42000</v>
      </c>
      <c r="J46" s="66">
        <f aca="true" t="shared" si="23" ref="J46:P46">+J47+J48</f>
        <v>42000</v>
      </c>
      <c r="K46" s="66">
        <f t="shared" si="23"/>
        <v>54000</v>
      </c>
      <c r="L46" s="66">
        <f t="shared" si="23"/>
        <v>54000</v>
      </c>
      <c r="M46" s="66">
        <f t="shared" si="23"/>
        <v>56000</v>
      </c>
      <c r="N46" s="66">
        <f t="shared" si="23"/>
        <v>0</v>
      </c>
      <c r="O46" s="66">
        <f t="shared" si="23"/>
        <v>0</v>
      </c>
      <c r="P46" s="66">
        <f t="shared" si="23"/>
        <v>0</v>
      </c>
      <c r="Q46" s="70">
        <f>SUM(E46:P46)</f>
        <v>418000</v>
      </c>
      <c r="R46" s="71">
        <f t="shared" si="21"/>
        <v>0.6989846044627558</v>
      </c>
      <c r="S46" s="70">
        <f t="shared" si="15"/>
        <v>180010.31000000006</v>
      </c>
      <c r="T46" s="71">
        <f t="shared" si="16"/>
        <v>0.3010153955372442</v>
      </c>
      <c r="U46" s="70">
        <f>+U47+U48</f>
        <v>180010.31</v>
      </c>
      <c r="V46" s="68">
        <f t="shared" si="18"/>
        <v>0.30101539553724416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48000*12-300000+100000+42000</f>
        <v>418000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>
        <v>56000</v>
      </c>
      <c r="N47" s="38"/>
      <c r="O47" s="38"/>
      <c r="P47" s="38"/>
      <c r="Q47" s="87">
        <f t="shared" si="13"/>
        <v>418000</v>
      </c>
      <c r="R47" s="88">
        <f t="shared" si="21"/>
        <v>1</v>
      </c>
      <c r="S47" s="87">
        <f t="shared" si="15"/>
        <v>0</v>
      </c>
      <c r="T47" s="88">
        <f t="shared" si="16"/>
        <v>0</v>
      </c>
      <c r="U47" s="87">
        <f t="shared" si="17"/>
        <v>0</v>
      </c>
      <c r="V47" s="88">
        <f t="shared" si="18"/>
        <v>0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/>
      <c r="O48" s="38"/>
      <c r="P48" s="38"/>
      <c r="Q48" s="87">
        <f t="shared" si="13"/>
        <v>0</v>
      </c>
      <c r="R48" s="88">
        <f t="shared" si="21"/>
        <v>0</v>
      </c>
      <c r="S48" s="87">
        <f t="shared" si="15"/>
        <v>180010.31</v>
      </c>
      <c r="T48" s="88">
        <f t="shared" si="16"/>
        <v>1</v>
      </c>
      <c r="U48" s="87">
        <f t="shared" si="17"/>
        <v>180010.31</v>
      </c>
      <c r="V48" s="88">
        <f t="shared" si="18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4" ref="E49:P49">+E50+E51</f>
        <v>1092758.14</v>
      </c>
      <c r="F49" s="66">
        <f t="shared" si="24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4"/>
        <v>1074383.17</v>
      </c>
      <c r="L49" s="66">
        <f t="shared" si="24"/>
        <v>1323476.24</v>
      </c>
      <c r="M49" s="66">
        <f>+M50+M51+M52</f>
        <v>1392476.25</v>
      </c>
      <c r="N49" s="66">
        <f t="shared" si="24"/>
        <v>0</v>
      </c>
      <c r="O49" s="66">
        <f t="shared" si="24"/>
        <v>0</v>
      </c>
      <c r="P49" s="66">
        <f t="shared" si="24"/>
        <v>0</v>
      </c>
      <c r="Q49" s="70">
        <f>SUM(E49:P49)</f>
        <v>116693649.11999999</v>
      </c>
      <c r="R49" s="71">
        <f t="shared" si="21"/>
        <v>0.9775801784404595</v>
      </c>
      <c r="S49" s="70">
        <f t="shared" si="15"/>
        <v>2676251.88000001</v>
      </c>
      <c r="T49" s="71">
        <f t="shared" si="16"/>
        <v>0.02241982155954046</v>
      </c>
      <c r="U49" s="70">
        <f>+U50+U51+U52</f>
        <v>2676251.879999999</v>
      </c>
      <c r="V49" s="68">
        <f t="shared" si="18"/>
        <v>0.022419821559540365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>
        <v>1392476.25</v>
      </c>
      <c r="N50" s="38"/>
      <c r="O50" s="38"/>
      <c r="P50" s="38"/>
      <c r="Q50" s="87">
        <f t="shared" si="13"/>
        <v>10621748.120000001</v>
      </c>
      <c r="R50" s="88">
        <f t="shared" si="21"/>
        <v>0.823391327131783</v>
      </c>
      <c r="S50" s="87">
        <f t="shared" si="15"/>
        <v>2278251.879999999</v>
      </c>
      <c r="T50" s="88">
        <f t="shared" si="16"/>
        <v>0.17660867286821696</v>
      </c>
      <c r="U50" s="87">
        <f t="shared" si="17"/>
        <v>2278251.879999999</v>
      </c>
      <c r="V50" s="88">
        <f t="shared" si="18"/>
        <v>0.17660867286821696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/>
      <c r="O51" s="38"/>
      <c r="P51" s="38"/>
      <c r="Q51" s="87">
        <f t="shared" si="13"/>
        <v>0</v>
      </c>
      <c r="R51" s="88">
        <f t="shared" si="21"/>
        <v>0</v>
      </c>
      <c r="S51" s="87">
        <f t="shared" si="15"/>
        <v>398000</v>
      </c>
      <c r="T51" s="88">
        <f t="shared" si="16"/>
        <v>1</v>
      </c>
      <c r="U51" s="87">
        <f t="shared" si="17"/>
        <v>398000</v>
      </c>
      <c r="V51" s="88">
        <f t="shared" si="18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/>
      <c r="O52" s="38"/>
      <c r="P52" s="38"/>
      <c r="Q52" s="87">
        <f t="shared" si="13"/>
        <v>106071901</v>
      </c>
      <c r="R52" s="88">
        <f>+Q52/(C52+D52)</f>
        <v>1</v>
      </c>
      <c r="S52" s="87">
        <f t="shared" si="15"/>
        <v>0</v>
      </c>
      <c r="T52" s="88">
        <f t="shared" si="16"/>
        <v>0</v>
      </c>
      <c r="U52" s="87">
        <f t="shared" si="17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5" ref="E53:P53">+E54</f>
        <v>375886.23</v>
      </c>
      <c r="F53" s="66">
        <f t="shared" si="25"/>
        <v>114443.18</v>
      </c>
      <c r="G53" s="66">
        <f t="shared" si="25"/>
        <v>42705.43</v>
      </c>
      <c r="H53" s="66">
        <f>+H54</f>
        <v>18862.26</v>
      </c>
      <c r="I53" s="66">
        <f t="shared" si="25"/>
        <v>42481.15</v>
      </c>
      <c r="J53" s="66">
        <f t="shared" si="25"/>
        <v>7291.69</v>
      </c>
      <c r="K53" s="66">
        <f t="shared" si="25"/>
        <v>42075.79</v>
      </c>
      <c r="L53" s="66">
        <f t="shared" si="25"/>
        <v>2453183.73</v>
      </c>
      <c r="M53" s="66">
        <f t="shared" si="25"/>
        <v>2548125.23</v>
      </c>
      <c r="N53" s="66">
        <f t="shared" si="25"/>
        <v>0</v>
      </c>
      <c r="O53" s="66">
        <f t="shared" si="25"/>
        <v>0</v>
      </c>
      <c r="P53" s="66">
        <f t="shared" si="25"/>
        <v>0</v>
      </c>
      <c r="Q53" s="70">
        <f>SUM(E53:P53)</f>
        <v>5645054.6899999995</v>
      </c>
      <c r="R53" s="71">
        <f aca="true" t="shared" si="26" ref="R53:R68">+Q53/C53</f>
        <v>8.181238681159419</v>
      </c>
      <c r="S53" s="70">
        <f t="shared" si="15"/>
        <v>-4955054.6899999995</v>
      </c>
      <c r="T53" s="71">
        <f t="shared" si="16"/>
        <v>-7.181238681159419</v>
      </c>
      <c r="U53" s="70">
        <f>+U54</f>
        <v>6745996.620000001</v>
      </c>
      <c r="V53" s="68">
        <f aca="true" t="shared" si="27" ref="V53:V68">+U53/C53</f>
        <v>9.776806695652175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>
        <v>2548125.23</v>
      </c>
      <c r="N54" s="42"/>
      <c r="O54" s="42"/>
      <c r="P54" s="42"/>
      <c r="Q54" s="87">
        <f t="shared" si="13"/>
        <v>5645054.6899999995</v>
      </c>
      <c r="R54" s="88">
        <f>+Q54/C54</f>
        <v>8.181238681159419</v>
      </c>
      <c r="S54" s="87">
        <f t="shared" si="15"/>
        <v>-4955054.6899999995</v>
      </c>
      <c r="T54" s="88">
        <f t="shared" si="16"/>
        <v>-7.181238681159419</v>
      </c>
      <c r="U54" s="87">
        <f t="shared" si="17"/>
        <v>6745996.620000001</v>
      </c>
      <c r="V54" s="88">
        <f t="shared" si="27"/>
        <v>9.776806695652175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6046548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991372.28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3435758.1100000003</v>
      </c>
      <c r="R55" s="71">
        <f t="shared" si="26"/>
        <v>0.5682181155264128</v>
      </c>
      <c r="S55" s="70">
        <f t="shared" si="15"/>
        <v>2610789.8899999997</v>
      </c>
      <c r="T55" s="71">
        <f t="shared" si="16"/>
        <v>0.4317818844735872</v>
      </c>
      <c r="U55" s="70">
        <f>+U56+U58+U59+U60+U61+U62</f>
        <v>2665388.4899999998</v>
      </c>
      <c r="V55" s="68">
        <f t="shared" si="27"/>
        <v>0.44081159861792213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>
        <v>0</v>
      </c>
      <c r="N56" s="39"/>
      <c r="O56" s="39"/>
      <c r="P56" s="39"/>
      <c r="Q56" s="87">
        <f t="shared" si="13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7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357</v>
      </c>
      <c r="B57" s="28" t="s">
        <v>358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>
        <v>0</v>
      </c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/>
      <c r="O58" s="39"/>
      <c r="P58" s="39"/>
      <c r="Q58" s="87">
        <f t="shared" si="13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7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>
        <v>0</v>
      </c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/>
      <c r="O60" s="39"/>
      <c r="P60" s="39"/>
      <c r="Q60" s="87">
        <f t="shared" si="13"/>
        <v>0</v>
      </c>
      <c r="R60" s="88" t="e">
        <f t="shared" si="26"/>
        <v>#DIV/0!</v>
      </c>
      <c r="S60" s="87">
        <f t="shared" si="15"/>
        <v>0</v>
      </c>
      <c r="T60" s="88" t="e">
        <f t="shared" si="16"/>
        <v>#DIV/0!</v>
      </c>
      <c r="U60" s="87">
        <f t="shared" si="17"/>
        <v>0</v>
      </c>
      <c r="V60" s="88" t="e">
        <f t="shared" si="27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/>
      <c r="O61" s="39"/>
      <c r="P61" s="39"/>
      <c r="Q61" s="87">
        <f t="shared" si="13"/>
        <v>0</v>
      </c>
      <c r="R61" s="88" t="e">
        <f t="shared" si="26"/>
        <v>#DIV/0!</v>
      </c>
      <c r="S61" s="87">
        <f t="shared" si="15"/>
        <v>0</v>
      </c>
      <c r="T61" s="88" t="e">
        <f t="shared" si="16"/>
        <v>#DIV/0!</v>
      </c>
      <c r="U61" s="87">
        <f t="shared" si="17"/>
        <v>0</v>
      </c>
      <c r="V61" s="88" t="e">
        <f t="shared" si="27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50000+200000+1000000</f>
        <v>1250000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>
        <v>991372.28</v>
      </c>
      <c r="N62" s="39"/>
      <c r="O62" s="39"/>
      <c r="P62" s="39"/>
      <c r="Q62" s="87">
        <f>SUM(E62:P62)</f>
        <v>1229631.48</v>
      </c>
      <c r="R62" s="88">
        <f>+Q62/C62</f>
        <v>0.983705184</v>
      </c>
      <c r="S62" s="87">
        <f>+C62-Q62</f>
        <v>20368.52000000002</v>
      </c>
      <c r="T62" s="88">
        <f>+S62/C62</f>
        <v>0.016294816000000014</v>
      </c>
      <c r="U62" s="87">
        <f>+C62+D62-Q62</f>
        <v>20368.52000000002</v>
      </c>
      <c r="V62" s="88">
        <f>+U62/C62</f>
        <v>0.016294816000000014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353</v>
      </c>
      <c r="B63" s="28" t="s">
        <v>354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>
        <v>0</v>
      </c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6"/>
        <v>#DIV/0!</v>
      </c>
      <c r="S64" s="46">
        <f t="shared" si="15"/>
        <v>0</v>
      </c>
      <c r="T64" s="47" t="e">
        <f t="shared" si="16"/>
        <v>#DIV/0!</v>
      </c>
      <c r="U64" s="44">
        <f>+C64-Q64</f>
        <v>0</v>
      </c>
      <c r="V64" s="45" t="e">
        <f t="shared" si="27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+C66+C68+C69+C70+C71+C72+C73+C74+C75</f>
        <v>8092000</v>
      </c>
      <c r="D65" s="66">
        <f>+D66+D68+D69+D70+D71+D72+D73+D74+D75</f>
        <v>0</v>
      </c>
      <c r="E65" s="66">
        <f>+E66+E68+E69+E70+E71+E72+E73+E74+E75</f>
        <v>736250.8300000001</v>
      </c>
      <c r="F65" s="66">
        <f>+F66+F68+F69+F70+F71+F72+F73+F74+F75</f>
        <v>2045810.9300000002</v>
      </c>
      <c r="G65" s="66">
        <f>+G66+G71+G72+G73+G74</f>
        <v>6274369.7700000005</v>
      </c>
      <c r="H65" s="66">
        <f>+H66+H68+H69+H70+H71+H72+H73+H74+H75</f>
        <v>974743.41</v>
      </c>
      <c r="I65" s="66">
        <f>+I66+I68+I69+I70+I71+I72+I73+I74+I75</f>
        <v>1549445.3900000001</v>
      </c>
      <c r="J65" s="66">
        <f>+J66+J68+J71+J72+J73+J74+J75</f>
        <v>781171.87</v>
      </c>
      <c r="K65" s="66">
        <f>+K66+K68+K69+K71+K72+K73+K74+K75</f>
        <v>935982.98</v>
      </c>
      <c r="L65" s="66">
        <f>+L66+L68+L69+L71+L72+L73+L74+L75</f>
        <v>1472447.9</v>
      </c>
      <c r="M65" s="66">
        <f>+M66+M67+M68+M69+M70+M71+M72+M73+M74+M75</f>
        <v>1344333.24</v>
      </c>
      <c r="N65" s="66">
        <f>+N66+N68+N69+N71+N72+N73+N74+N75</f>
        <v>0</v>
      </c>
      <c r="O65" s="66">
        <f>+O66+O68+O69+O70+O71+O72+O73+O74+O75</f>
        <v>0</v>
      </c>
      <c r="P65" s="66">
        <f>+P66+P68+P69+P70+P71+P72+P73+P74+P75</f>
        <v>0</v>
      </c>
      <c r="Q65" s="70">
        <f>SUM(E65:P65)</f>
        <v>16114556.320000002</v>
      </c>
      <c r="R65" s="71">
        <f t="shared" si="26"/>
        <v>1.9914182303509642</v>
      </c>
      <c r="S65" s="70">
        <f t="shared" si="15"/>
        <v>-8022556.320000002</v>
      </c>
      <c r="T65" s="71">
        <f t="shared" si="16"/>
        <v>-0.9914182303509642</v>
      </c>
      <c r="U65" s="70">
        <f>+U66+U68+U69+U70+U71+U72+U73+U74+U75</f>
        <v>-7960551.860000001</v>
      </c>
      <c r="V65" s="71">
        <f t="shared" si="27"/>
        <v>-0.9837557909045973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>
        <v>199902.52</v>
      </c>
      <c r="N66" s="39"/>
      <c r="O66" s="39"/>
      <c r="P66" s="39"/>
      <c r="Q66" s="87">
        <f aca="true" t="shared" si="28" ref="Q66:Q75">SUM(E66:P66)</f>
        <v>2316893.8</v>
      </c>
      <c r="R66" s="88">
        <f t="shared" si="26"/>
        <v>0.7722979333333333</v>
      </c>
      <c r="S66" s="87">
        <f t="shared" si="15"/>
        <v>683106.2000000002</v>
      </c>
      <c r="T66" s="88">
        <f t="shared" si="16"/>
        <v>0.22770206666666673</v>
      </c>
      <c r="U66" s="87">
        <f aca="true" t="shared" si="29" ref="U66:U75">+C66+D66-Q66</f>
        <v>683106.2000000002</v>
      </c>
      <c r="V66" s="88">
        <f t="shared" si="27"/>
        <v>0.22770206666666673</v>
      </c>
      <c r="W66" s="3"/>
      <c r="X66" s="3"/>
      <c r="Y66" s="3"/>
      <c r="Z66" s="3"/>
      <c r="AA66" s="3"/>
    </row>
    <row r="67" spans="1:27" s="2" customFormat="1" ht="17.25" customHeight="1">
      <c r="A67" s="163" t="s">
        <v>360</v>
      </c>
      <c r="B67" s="37" t="s">
        <v>359</v>
      </c>
      <c r="C67" s="38">
        <v>70000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62004.46</v>
      </c>
      <c r="N67" s="39"/>
      <c r="O67" s="39"/>
      <c r="P67" s="39"/>
      <c r="Q67" s="87">
        <f>SUM(E67:P67)</f>
        <v>62004.46</v>
      </c>
      <c r="R67" s="88">
        <f>+Q67/C67</f>
        <v>0.885778</v>
      </c>
      <c r="S67" s="87">
        <f>+C67-Q67</f>
        <v>7995.540000000001</v>
      </c>
      <c r="T67" s="88">
        <f>+S67/C67</f>
        <v>0.11422200000000002</v>
      </c>
      <c r="U67" s="87">
        <f>+C67+D67-Q67</f>
        <v>7995.540000000001</v>
      </c>
      <c r="V67" s="88">
        <f>+U67/C67</f>
        <v>0.11422200000000002</v>
      </c>
      <c r="W67" s="3"/>
      <c r="X67" s="3"/>
      <c r="Y67" s="3"/>
      <c r="Z67" s="3"/>
      <c r="AA67" s="3"/>
    </row>
    <row r="68" spans="1:27" s="2" customFormat="1" ht="17.25" customHeight="1">
      <c r="A68" s="96" t="s">
        <v>243</v>
      </c>
      <c r="B68" s="37" t="s">
        <v>244</v>
      </c>
      <c r="C68" s="38">
        <v>200000</v>
      </c>
      <c r="D68" s="39"/>
      <c r="E68" s="39">
        <v>0</v>
      </c>
      <c r="F68" s="39">
        <v>0</v>
      </c>
      <c r="G68" s="39">
        <v>0</v>
      </c>
      <c r="H68" s="39">
        <v>197828</v>
      </c>
      <c r="I68" s="39">
        <v>0</v>
      </c>
      <c r="J68" s="39">
        <v>0</v>
      </c>
      <c r="K68" s="39">
        <v>0</v>
      </c>
      <c r="L68" s="39">
        <v>0</v>
      </c>
      <c r="M68" s="39">
        <v>1000</v>
      </c>
      <c r="N68" s="39"/>
      <c r="O68" s="39"/>
      <c r="P68" s="39"/>
      <c r="Q68" s="87">
        <f t="shared" si="28"/>
        <v>198828</v>
      </c>
      <c r="R68" s="88">
        <f t="shared" si="26"/>
        <v>0.99414</v>
      </c>
      <c r="S68" s="87">
        <f t="shared" si="15"/>
        <v>1172</v>
      </c>
      <c r="T68" s="88">
        <f t="shared" si="16"/>
        <v>0.00586</v>
      </c>
      <c r="U68" s="87">
        <f t="shared" si="29"/>
        <v>1172</v>
      </c>
      <c r="V68" s="88">
        <f t="shared" si="27"/>
        <v>0.00586</v>
      </c>
      <c r="W68" s="3"/>
      <c r="X68" s="3"/>
      <c r="Y68" s="3"/>
      <c r="Z68" s="3"/>
      <c r="AA68" s="3"/>
    </row>
    <row r="69" spans="1:27" s="2" customFormat="1" ht="17.25" customHeight="1">
      <c r="A69" s="118" t="s">
        <v>294</v>
      </c>
      <c r="B69" s="37" t="s">
        <v>293</v>
      </c>
      <c r="C69" s="38">
        <f>2000000+350000</f>
        <v>2350000</v>
      </c>
      <c r="D69" s="39"/>
      <c r="E69" s="39">
        <v>0</v>
      </c>
      <c r="F69" s="39">
        <v>1077340</v>
      </c>
      <c r="G69" s="39">
        <v>0</v>
      </c>
      <c r="H69" s="39">
        <v>12154</v>
      </c>
      <c r="I69" s="39">
        <v>769655</v>
      </c>
      <c r="J69" s="39">
        <v>0</v>
      </c>
      <c r="K69" s="39">
        <v>0</v>
      </c>
      <c r="L69" s="39">
        <v>456070</v>
      </c>
      <c r="M69" s="39">
        <v>0</v>
      </c>
      <c r="N69" s="39"/>
      <c r="O69" s="39"/>
      <c r="P69" s="39"/>
      <c r="Q69" s="87">
        <f t="shared" si="28"/>
        <v>2315219</v>
      </c>
      <c r="R69" s="88">
        <f>+Q69/(C69+D69)</f>
        <v>0.9851995744680851</v>
      </c>
      <c r="S69" s="87">
        <f>+C69-Q69</f>
        <v>34781</v>
      </c>
      <c r="T69" s="88">
        <f>+S69/C69</f>
        <v>0.014800425531914893</v>
      </c>
      <c r="U69" s="87">
        <f t="shared" si="29"/>
        <v>34781</v>
      </c>
      <c r="V69" s="88">
        <f>+U69/(C69+D69)</f>
        <v>0.014800425531914893</v>
      </c>
      <c r="W69" s="3"/>
      <c r="X69" s="3"/>
      <c r="Y69" s="3"/>
      <c r="Z69" s="3"/>
      <c r="AA69" s="3"/>
    </row>
    <row r="70" spans="1:27" s="2" customFormat="1" ht="17.25" customHeight="1">
      <c r="A70" s="121" t="s">
        <v>312</v>
      </c>
      <c r="B70" s="28" t="s">
        <v>313</v>
      </c>
      <c r="C70" s="38">
        <v>0</v>
      </c>
      <c r="D70" s="39"/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/>
      <c r="O70" s="39"/>
      <c r="P70" s="39"/>
      <c r="Q70" s="87">
        <f t="shared" si="28"/>
        <v>0</v>
      </c>
      <c r="R70" s="88" t="e">
        <f>+Q70/(C70+D70)</f>
        <v>#DIV/0!</v>
      </c>
      <c r="S70" s="87">
        <f>+C70-Q70</f>
        <v>0</v>
      </c>
      <c r="T70" s="88" t="e">
        <f>+S70/C70</f>
        <v>#DIV/0!</v>
      </c>
      <c r="U70" s="87">
        <f t="shared" si="29"/>
        <v>0</v>
      </c>
      <c r="V70" s="88" t="e">
        <f>+U70/C70</f>
        <v>#DIV/0!</v>
      </c>
      <c r="W70" s="3"/>
      <c r="X70" s="3"/>
      <c r="Y70" s="3"/>
      <c r="Z70" s="3"/>
      <c r="AA70" s="3"/>
    </row>
    <row r="71" spans="1:27" s="2" customFormat="1" ht="15">
      <c r="A71" s="96" t="s">
        <v>227</v>
      </c>
      <c r="B71" s="28" t="s">
        <v>228</v>
      </c>
      <c r="C71" s="38">
        <f>40000+90000+80000</f>
        <v>210000</v>
      </c>
      <c r="D71" s="39"/>
      <c r="E71" s="39">
        <v>0</v>
      </c>
      <c r="F71" s="39">
        <v>0</v>
      </c>
      <c r="G71" s="39">
        <v>0</v>
      </c>
      <c r="H71" s="39">
        <v>16650</v>
      </c>
      <c r="I71" s="39">
        <v>0</v>
      </c>
      <c r="J71" s="39">
        <v>0</v>
      </c>
      <c r="K71" s="39">
        <v>0</v>
      </c>
      <c r="L71" s="39">
        <v>108000</v>
      </c>
      <c r="M71" s="39">
        <v>80000</v>
      </c>
      <c r="N71" s="39"/>
      <c r="O71" s="39"/>
      <c r="P71" s="39"/>
      <c r="Q71" s="87">
        <f t="shared" si="28"/>
        <v>204650</v>
      </c>
      <c r="R71" s="88">
        <f aca="true" t="shared" si="30" ref="R71:R76">+Q71/C71</f>
        <v>0.9745238095238096</v>
      </c>
      <c r="S71" s="87">
        <f aca="true" t="shared" si="31" ref="S71:S76">+C71-Q71</f>
        <v>5350</v>
      </c>
      <c r="T71" s="88">
        <f aca="true" t="shared" si="32" ref="T71:T76">+S71/C71</f>
        <v>0.025476190476190475</v>
      </c>
      <c r="U71" s="87">
        <f t="shared" si="29"/>
        <v>5350</v>
      </c>
      <c r="V71" s="88">
        <f aca="true" t="shared" si="33" ref="V71:V79">+U71/C71</f>
        <v>0.025476190476190475</v>
      </c>
      <c r="W71" s="3"/>
      <c r="X71" s="3"/>
      <c r="Y71" s="3"/>
      <c r="Z71" s="3"/>
      <c r="AA71" s="3"/>
    </row>
    <row r="72" spans="1:27" s="2" customFormat="1" ht="33.75" customHeight="1">
      <c r="A72" s="96" t="s">
        <v>206</v>
      </c>
      <c r="B72" s="28" t="s">
        <v>207</v>
      </c>
      <c r="C72" s="38">
        <f>6000*12</f>
        <v>72000</v>
      </c>
      <c r="D72" s="39"/>
      <c r="E72" s="39">
        <v>6000</v>
      </c>
      <c r="F72" s="39">
        <v>6000</v>
      </c>
      <c r="G72" s="39">
        <v>6000</v>
      </c>
      <c r="H72" s="39">
        <v>6000</v>
      </c>
      <c r="I72" s="39">
        <v>6000</v>
      </c>
      <c r="J72" s="39">
        <v>6000</v>
      </c>
      <c r="K72" s="39">
        <v>6000</v>
      </c>
      <c r="L72" s="39">
        <v>6000</v>
      </c>
      <c r="M72" s="39">
        <v>6000</v>
      </c>
      <c r="N72" s="39"/>
      <c r="O72" s="39"/>
      <c r="P72" s="39"/>
      <c r="Q72" s="87">
        <f t="shared" si="28"/>
        <v>54000</v>
      </c>
      <c r="R72" s="88">
        <f t="shared" si="30"/>
        <v>0.75</v>
      </c>
      <c r="S72" s="87">
        <f t="shared" si="31"/>
        <v>18000</v>
      </c>
      <c r="T72" s="88">
        <f t="shared" si="32"/>
        <v>0.25</v>
      </c>
      <c r="U72" s="87">
        <f t="shared" si="29"/>
        <v>18000</v>
      </c>
      <c r="V72" s="88">
        <f t="shared" si="33"/>
        <v>0.25</v>
      </c>
      <c r="W72" s="3"/>
      <c r="X72" s="3"/>
      <c r="Y72" s="3"/>
      <c r="Z72" s="3"/>
      <c r="AA72" s="3"/>
    </row>
    <row r="73" spans="1:27" s="2" customFormat="1" ht="17.25" customHeight="1">
      <c r="A73" s="96" t="s">
        <v>94</v>
      </c>
      <c r="B73" s="24" t="s">
        <v>195</v>
      </c>
      <c r="C73" s="39">
        <f>55000*12</f>
        <v>660000</v>
      </c>
      <c r="D73" s="39"/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/>
      <c r="K73" s="39">
        <v>0</v>
      </c>
      <c r="L73" s="39">
        <v>0</v>
      </c>
      <c r="M73" s="39">
        <v>0</v>
      </c>
      <c r="N73" s="39"/>
      <c r="O73" s="39"/>
      <c r="P73" s="39"/>
      <c r="Q73" s="87">
        <f t="shared" si="28"/>
        <v>0</v>
      </c>
      <c r="R73" s="88">
        <f t="shared" si="30"/>
        <v>0</v>
      </c>
      <c r="S73" s="87">
        <f t="shared" si="31"/>
        <v>660000</v>
      </c>
      <c r="T73" s="88">
        <f t="shared" si="32"/>
        <v>1</v>
      </c>
      <c r="U73" s="87">
        <f t="shared" si="29"/>
        <v>660000</v>
      </c>
      <c r="V73" s="88">
        <f t="shared" si="33"/>
        <v>1</v>
      </c>
      <c r="W73" s="3"/>
      <c r="X73" s="3"/>
      <c r="Y73" s="3"/>
      <c r="Z73" s="3"/>
      <c r="AA73" s="3"/>
    </row>
    <row r="74" spans="1:27" s="2" customFormat="1" ht="15">
      <c r="A74" s="96" t="s">
        <v>113</v>
      </c>
      <c r="B74" s="24" t="s">
        <v>114</v>
      </c>
      <c r="C74" s="39">
        <v>1500000</v>
      </c>
      <c r="D74" s="39"/>
      <c r="E74" s="39">
        <f>436353.45+111100.08+16500</f>
        <v>563953.53</v>
      </c>
      <c r="F74" s="39">
        <f>613213.78+133640.26+19800</f>
        <v>766654.04</v>
      </c>
      <c r="G74" s="39">
        <f>49302+5750015.69+96393+24216.5</f>
        <v>5919927.19</v>
      </c>
      <c r="H74" s="39">
        <v>577112.37</v>
      </c>
      <c r="I74" s="39">
        <v>18995.87</v>
      </c>
      <c r="J74" s="39">
        <v>600308.72</v>
      </c>
      <c r="K74" s="39">
        <v>735337.83</v>
      </c>
      <c r="L74" s="39">
        <v>720344.22</v>
      </c>
      <c r="M74" s="39">
        <f>856506.94+120509.82+18409.5</f>
        <v>995426.26</v>
      </c>
      <c r="N74" s="39"/>
      <c r="O74" s="39"/>
      <c r="P74" s="39"/>
      <c r="Q74" s="87">
        <f t="shared" si="28"/>
        <v>10898060.030000001</v>
      </c>
      <c r="R74" s="88">
        <f t="shared" si="30"/>
        <v>7.2653733533333344</v>
      </c>
      <c r="S74" s="87">
        <f t="shared" si="31"/>
        <v>-9398060.030000001</v>
      </c>
      <c r="T74" s="88">
        <f t="shared" si="32"/>
        <v>-6.2653733533333344</v>
      </c>
      <c r="U74" s="87">
        <f t="shared" si="29"/>
        <v>-9398060.030000001</v>
      </c>
      <c r="V74" s="88">
        <f t="shared" si="33"/>
        <v>-6.2653733533333344</v>
      </c>
      <c r="W74" s="3"/>
      <c r="X74" s="3"/>
      <c r="Y74" s="3"/>
      <c r="Z74" s="3"/>
      <c r="AA74" s="3"/>
    </row>
    <row r="75" spans="1:27" s="2" customFormat="1" ht="30">
      <c r="A75" s="103" t="s">
        <v>280</v>
      </c>
      <c r="B75" s="24" t="s">
        <v>281</v>
      </c>
      <c r="C75" s="39">
        <v>100000</v>
      </c>
      <c r="D75" s="39"/>
      <c r="E75" s="39">
        <v>0</v>
      </c>
      <c r="F75" s="39">
        <v>0</v>
      </c>
      <c r="G75" s="39">
        <v>0</v>
      </c>
      <c r="H75" s="39">
        <v>0</v>
      </c>
      <c r="I75" s="39">
        <v>64901.03</v>
      </c>
      <c r="J75" s="39">
        <v>0</v>
      </c>
      <c r="K75" s="39">
        <v>0</v>
      </c>
      <c r="L75" s="39">
        <v>0</v>
      </c>
      <c r="M75" s="39">
        <v>0</v>
      </c>
      <c r="N75" s="39"/>
      <c r="O75" s="39"/>
      <c r="P75" s="39"/>
      <c r="Q75" s="87">
        <f t="shared" si="28"/>
        <v>64901.03</v>
      </c>
      <c r="R75" s="88">
        <f t="shared" si="30"/>
        <v>0.6490103</v>
      </c>
      <c r="S75" s="87">
        <f t="shared" si="31"/>
        <v>35098.97</v>
      </c>
      <c r="T75" s="88">
        <f t="shared" si="32"/>
        <v>0.3509897</v>
      </c>
      <c r="U75" s="87">
        <f t="shared" si="29"/>
        <v>35098.97</v>
      </c>
      <c r="V75" s="88">
        <f>+U78/C75</f>
        <v>100.56109</v>
      </c>
      <c r="W75" s="3"/>
      <c r="X75" s="3"/>
      <c r="Y75" s="3"/>
      <c r="Z75" s="3"/>
      <c r="AA75" s="3"/>
    </row>
    <row r="76" spans="1:28" ht="15">
      <c r="A76" s="20" t="s">
        <v>184</v>
      </c>
      <c r="B76" s="8" t="s">
        <v>196</v>
      </c>
      <c r="C76" s="66">
        <f>+C78+C79</f>
        <v>33378349</v>
      </c>
      <c r="D76" s="66">
        <f>+D78+D79</f>
        <v>20597500</v>
      </c>
      <c r="E76" s="66">
        <f aca="true" t="shared" si="34" ref="E76:K76">+E78+E79</f>
        <v>3378349</v>
      </c>
      <c r="F76" s="66">
        <f t="shared" si="34"/>
        <v>3053736</v>
      </c>
      <c r="G76" s="66">
        <f t="shared" si="34"/>
        <v>3411798</v>
      </c>
      <c r="H76" s="66">
        <f>+H78+H79</f>
        <v>3276840</v>
      </c>
      <c r="I76" s="66">
        <f t="shared" si="34"/>
        <v>3380922</v>
      </c>
      <c r="J76" s="66">
        <f t="shared" si="34"/>
        <v>3631360</v>
      </c>
      <c r="K76" s="66">
        <f t="shared" si="34"/>
        <v>13695110</v>
      </c>
      <c r="L76" s="66">
        <f>+L78+L79</f>
        <v>5126625</v>
      </c>
      <c r="M76" s="66">
        <f>+M78+M79</f>
        <v>4965000</v>
      </c>
      <c r="N76" s="66">
        <f>+N78+N79</f>
        <v>0</v>
      </c>
      <c r="O76" s="66">
        <f>+O78+O79</f>
        <v>0</v>
      </c>
      <c r="P76" s="66">
        <f>+P78+P79</f>
        <v>0</v>
      </c>
      <c r="Q76" s="70">
        <f>SUM(E76:P77)</f>
        <v>43919740</v>
      </c>
      <c r="R76" s="71">
        <f t="shared" si="30"/>
        <v>1.3158152310049847</v>
      </c>
      <c r="S76" s="70">
        <f t="shared" si="31"/>
        <v>-10541391</v>
      </c>
      <c r="T76" s="71">
        <f t="shared" si="32"/>
        <v>-0.3158152310049847</v>
      </c>
      <c r="U76" s="70">
        <f>+U78+U79</f>
        <v>10056109</v>
      </c>
      <c r="V76" s="71">
        <f t="shared" si="33"/>
        <v>0.301276405252998</v>
      </c>
      <c r="W76" s="3"/>
      <c r="X76" s="3"/>
      <c r="Y76" s="3"/>
      <c r="Z76" s="3"/>
      <c r="AA76" s="3"/>
      <c r="AB76" s="2"/>
    </row>
    <row r="77" spans="1:28" ht="17.25" customHeight="1" hidden="1">
      <c r="A77" s="92" t="s">
        <v>38</v>
      </c>
      <c r="B77" s="9" t="s">
        <v>39</v>
      </c>
      <c r="C77" s="39"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2"/>
      <c r="R77" s="52"/>
      <c r="S77" s="50">
        <v>0</v>
      </c>
      <c r="T77" s="50"/>
      <c r="U77" s="52"/>
      <c r="V77" s="52"/>
      <c r="W77" s="3"/>
      <c r="X77" s="3"/>
      <c r="Y77" s="3"/>
      <c r="Z77" s="3"/>
      <c r="AA77" s="3"/>
      <c r="AB77" s="2"/>
    </row>
    <row r="78" spans="1:28" ht="17.25" customHeight="1">
      <c r="A78" s="116" t="s">
        <v>115</v>
      </c>
      <c r="B78" s="23" t="s">
        <v>149</v>
      </c>
      <c r="C78" s="38">
        <f>3378349+30000000</f>
        <v>33378349</v>
      </c>
      <c r="D78" s="39">
        <v>20597500</v>
      </c>
      <c r="E78" s="39">
        <v>3378349</v>
      </c>
      <c r="F78" s="39">
        <v>3053736</v>
      </c>
      <c r="G78" s="39">
        <v>3411798</v>
      </c>
      <c r="H78" s="39">
        <v>3276840</v>
      </c>
      <c r="I78" s="39">
        <v>3380922</v>
      </c>
      <c r="J78" s="39">
        <v>3631360</v>
      </c>
      <c r="K78" s="39">
        <v>13695110</v>
      </c>
      <c r="L78" s="39">
        <v>5126625</v>
      </c>
      <c r="M78" s="39">
        <v>4965000</v>
      </c>
      <c r="N78" s="39"/>
      <c r="O78" s="39"/>
      <c r="P78" s="39"/>
      <c r="Q78" s="87">
        <f>SUM(E78:P78)</f>
        <v>43919740</v>
      </c>
      <c r="R78" s="88">
        <f>+Q78/C78</f>
        <v>1.3158152310049847</v>
      </c>
      <c r="S78" s="87">
        <f>+C78-Q78</f>
        <v>-10541391</v>
      </c>
      <c r="T78" s="88">
        <f>+S78/C78</f>
        <v>-0.3158152310049847</v>
      </c>
      <c r="U78" s="87">
        <f>+C78+D78-Q78</f>
        <v>10056109</v>
      </c>
      <c r="V78" s="88">
        <f t="shared" si="33"/>
        <v>0.301276405252998</v>
      </c>
      <c r="W78" s="3"/>
      <c r="X78" s="3"/>
      <c r="Y78" s="3"/>
      <c r="Z78" s="3"/>
      <c r="AA78" s="3"/>
      <c r="AB78" s="2"/>
    </row>
    <row r="79" spans="1:28" s="3" customFormat="1" ht="15">
      <c r="A79" s="120" t="s">
        <v>300</v>
      </c>
      <c r="B79" s="23" t="s">
        <v>301</v>
      </c>
      <c r="C79" s="38">
        <v>0</v>
      </c>
      <c r="D79" s="39"/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/>
      <c r="O79" s="39"/>
      <c r="P79" s="39"/>
      <c r="Q79" s="87">
        <f>SUM(E79:P79)</f>
        <v>0</v>
      </c>
      <c r="R79" s="88" t="e">
        <f>+Q79/C79</f>
        <v>#DIV/0!</v>
      </c>
      <c r="S79" s="87">
        <f>+C79-Q79</f>
        <v>0</v>
      </c>
      <c r="T79" s="88" t="e">
        <f>+S79/C79</f>
        <v>#DIV/0!</v>
      </c>
      <c r="U79" s="87">
        <f>+C79-Q79</f>
        <v>0</v>
      </c>
      <c r="V79" s="88" t="e">
        <f t="shared" si="33"/>
        <v>#DIV/0!</v>
      </c>
      <c r="AB79" s="2"/>
    </row>
    <row r="80" spans="1:28" s="3" customFormat="1" ht="17.25" customHeight="1" hidden="1">
      <c r="A80" s="25" t="s">
        <v>40</v>
      </c>
      <c r="B80" s="27" t="s">
        <v>41</v>
      </c>
      <c r="C80" s="39">
        <v>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52"/>
      <c r="R80" s="52"/>
      <c r="S80" s="50">
        <v>0</v>
      </c>
      <c r="T80" s="50"/>
      <c r="U80" s="52"/>
      <c r="V80" s="52"/>
      <c r="AB80" s="2"/>
    </row>
    <row r="81" spans="1:28" s="3" customFormat="1" ht="15">
      <c r="A81" s="20" t="s">
        <v>42</v>
      </c>
      <c r="B81" s="8" t="s">
        <v>270</v>
      </c>
      <c r="C81" s="66">
        <f>+C82+C89+C90+C91</f>
        <v>6675000</v>
      </c>
      <c r="D81" s="66">
        <f>+D82+D89+D91</f>
        <v>0</v>
      </c>
      <c r="E81" s="66">
        <f>+E82+E89+E90+E91</f>
        <v>1300</v>
      </c>
      <c r="F81" s="66">
        <f>+F82+F89+F91</f>
        <v>0</v>
      </c>
      <c r="G81" s="66">
        <f>+G82+G89+G91</f>
        <v>0</v>
      </c>
      <c r="H81" s="66">
        <f>+H82+H89+H91</f>
        <v>0</v>
      </c>
      <c r="I81" s="66">
        <f>+I82+I89+I91</f>
        <v>0</v>
      </c>
      <c r="J81" s="66">
        <f>SUM(J82:J82)</f>
        <v>1381</v>
      </c>
      <c r="K81" s="66">
        <f>+K82+K89+K90+K91</f>
        <v>2205429.95</v>
      </c>
      <c r="L81" s="66">
        <f>+L82+L89+L90+L91</f>
        <v>882887.8</v>
      </c>
      <c r="M81" s="66">
        <f>+M82+M89+M91</f>
        <v>441324.99</v>
      </c>
      <c r="N81" s="66">
        <f>+N82+N89+N90+N91</f>
        <v>0</v>
      </c>
      <c r="O81" s="66">
        <f>+O82+O89+O90+O91</f>
        <v>0</v>
      </c>
      <c r="P81" s="66">
        <f>+P82+P89+P90+P91</f>
        <v>0</v>
      </c>
      <c r="Q81" s="70">
        <f>SUM(E81:P81)</f>
        <v>3532323.74</v>
      </c>
      <c r="R81" s="71">
        <f>+Q81/C81</f>
        <v>0.5291870771535581</v>
      </c>
      <c r="S81" s="70">
        <f>+C81-Q81</f>
        <v>3142676.26</v>
      </c>
      <c r="T81" s="71">
        <f>+S81/C81</f>
        <v>0.47081292284644194</v>
      </c>
      <c r="U81" s="70">
        <f>+U82+U89+U90+U91</f>
        <v>3142676.26</v>
      </c>
      <c r="V81" s="68">
        <f>+U81/C81</f>
        <v>0.47081292284644194</v>
      </c>
      <c r="AB81" s="2"/>
    </row>
    <row r="82" spans="1:28" s="3" customFormat="1" ht="15">
      <c r="A82" s="124" t="s">
        <v>116</v>
      </c>
      <c r="B82" s="22" t="s">
        <v>139</v>
      </c>
      <c r="C82" s="38">
        <v>15000</v>
      </c>
      <c r="D82" s="39"/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1381</v>
      </c>
      <c r="K82" s="39">
        <v>304.95</v>
      </c>
      <c r="L82" s="39">
        <v>837.8</v>
      </c>
      <c r="M82" s="39">
        <v>299.99</v>
      </c>
      <c r="N82" s="39"/>
      <c r="O82" s="39"/>
      <c r="P82" s="39"/>
      <c r="Q82" s="87">
        <f aca="true" t="shared" si="35" ref="Q82:Q115">SUM(E82:P82)</f>
        <v>2823.74</v>
      </c>
      <c r="R82" s="88">
        <f>+Q82/C82</f>
        <v>0.18824933333333332</v>
      </c>
      <c r="S82" s="87">
        <f>+C82-Q82</f>
        <v>12176.26</v>
      </c>
      <c r="T82" s="88">
        <f>+S82/C82</f>
        <v>0.8117506666666667</v>
      </c>
      <c r="U82" s="87">
        <f>+C82+D82-Q82</f>
        <v>12176.26</v>
      </c>
      <c r="V82" s="88">
        <f>+U82/C82</f>
        <v>0.8117506666666667</v>
      </c>
      <c r="AB82" s="2"/>
    </row>
    <row r="83" spans="1:28" s="3" customFormat="1" ht="17.25" customHeight="1" hidden="1">
      <c r="A83" s="97" t="s">
        <v>96</v>
      </c>
      <c r="B83" s="23" t="s">
        <v>44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87">
        <f t="shared" si="35"/>
        <v>0</v>
      </c>
      <c r="R83" s="88" t="e">
        <f>+Q83/C83</f>
        <v>#DIV/0!</v>
      </c>
      <c r="S83" s="87">
        <f>+C83-Q83</f>
        <v>0</v>
      </c>
      <c r="T83" s="88" t="e">
        <f>+S83/C83</f>
        <v>#DIV/0!</v>
      </c>
      <c r="U83" s="87">
        <f aca="true" t="shared" si="36" ref="U83:U88">+C80+D80-Q80</f>
        <v>0</v>
      </c>
      <c r="V83" s="88" t="e">
        <f>+U83/#REF!</f>
        <v>#REF!</v>
      </c>
      <c r="AB83" s="2"/>
    </row>
    <row r="84" spans="1:28" s="12" customFormat="1" ht="17.25" customHeight="1" hidden="1">
      <c r="A84" s="20" t="s">
        <v>45</v>
      </c>
      <c r="B84" s="8" t="s">
        <v>46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87">
        <f t="shared" si="35"/>
        <v>0</v>
      </c>
      <c r="R84" s="87"/>
      <c r="S84" s="87"/>
      <c r="T84" s="87"/>
      <c r="U84" s="87">
        <f t="shared" si="36"/>
        <v>3142676.26</v>
      </c>
      <c r="V84" s="87"/>
      <c r="W84" s="1"/>
      <c r="X84" s="1"/>
      <c r="Y84" s="1"/>
      <c r="Z84" s="1"/>
      <c r="AA84" s="1"/>
      <c r="AB84" s="1"/>
    </row>
    <row r="85" spans="1:28" s="10" customFormat="1" ht="17.25" customHeight="1" hidden="1">
      <c r="A85" s="92" t="s">
        <v>47</v>
      </c>
      <c r="B85" s="9" t="s">
        <v>48</v>
      </c>
      <c r="C85" s="4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5"/>
        <v>0</v>
      </c>
      <c r="R85" s="87"/>
      <c r="S85" s="89">
        <v>0</v>
      </c>
      <c r="T85" s="89"/>
      <c r="U85" s="87">
        <f t="shared" si="36"/>
        <v>12176.26</v>
      </c>
      <c r="V85" s="87"/>
      <c r="W85" s="1"/>
      <c r="X85" s="1"/>
      <c r="Y85" s="1"/>
      <c r="Z85" s="1"/>
      <c r="AA85" s="1"/>
      <c r="AB85" s="1"/>
    </row>
    <row r="86" spans="1:28" s="3" customFormat="1" ht="17.25" customHeight="1" hidden="1">
      <c r="A86" s="92" t="s">
        <v>49</v>
      </c>
      <c r="B86" s="9" t="s">
        <v>50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5"/>
        <v>0</v>
      </c>
      <c r="R86" s="87"/>
      <c r="S86" s="87"/>
      <c r="T86" s="87"/>
      <c r="U86" s="87">
        <f t="shared" si="36"/>
        <v>0</v>
      </c>
      <c r="V86" s="87"/>
      <c r="W86" s="1"/>
      <c r="X86" s="1"/>
      <c r="Y86" s="1"/>
      <c r="Z86" s="1"/>
      <c r="AA86" s="1"/>
      <c r="AB86" s="1"/>
    </row>
    <row r="87" spans="1:28" s="10" customFormat="1" ht="17.25" customHeight="1" hidden="1">
      <c r="A87" s="92" t="s">
        <v>51</v>
      </c>
      <c r="B87" s="9" t="s">
        <v>52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5"/>
        <v>0</v>
      </c>
      <c r="R87" s="87"/>
      <c r="S87" s="87"/>
      <c r="T87" s="87"/>
      <c r="U87" s="87">
        <f t="shared" si="36"/>
        <v>0</v>
      </c>
      <c r="V87" s="87"/>
      <c r="W87" s="1"/>
      <c r="X87" s="1"/>
      <c r="Y87" s="1"/>
      <c r="Z87" s="1"/>
      <c r="AA87" s="1"/>
      <c r="AB87" s="1"/>
    </row>
    <row r="88" spans="1:28" s="10" customFormat="1" ht="69" customHeight="1" hidden="1">
      <c r="A88" s="92" t="s">
        <v>53</v>
      </c>
      <c r="B88" s="9" t="s">
        <v>54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87">
        <f t="shared" si="35"/>
        <v>0</v>
      </c>
      <c r="R88" s="87"/>
      <c r="S88" s="87"/>
      <c r="T88" s="87"/>
      <c r="U88" s="87">
        <f t="shared" si="36"/>
        <v>0</v>
      </c>
      <c r="V88" s="87"/>
      <c r="W88" s="1"/>
      <c r="X88" s="1"/>
      <c r="Y88" s="1"/>
      <c r="Z88" s="1"/>
      <c r="AA88" s="1"/>
      <c r="AB88" s="1"/>
    </row>
    <row r="89" spans="1:28" s="10" customFormat="1" ht="15">
      <c r="A89" s="92" t="s">
        <v>95</v>
      </c>
      <c r="B89" s="9" t="s">
        <v>43</v>
      </c>
      <c r="C89" s="39">
        <f>435000*12</f>
        <v>5220000</v>
      </c>
      <c r="D89" s="39"/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2205125</v>
      </c>
      <c r="L89" s="39">
        <v>882050</v>
      </c>
      <c r="M89" s="39">
        <v>441025</v>
      </c>
      <c r="N89" s="39"/>
      <c r="O89" s="39"/>
      <c r="P89" s="39"/>
      <c r="Q89" s="87">
        <f t="shared" si="35"/>
        <v>3528200</v>
      </c>
      <c r="R89" s="88">
        <f>+Q89/C89</f>
        <v>0.6759003831417625</v>
      </c>
      <c r="S89" s="87">
        <f aca="true" t="shared" si="37" ref="S89:S115">+C89-Q89</f>
        <v>1691800</v>
      </c>
      <c r="T89" s="88">
        <f aca="true" t="shared" si="38" ref="T89:T115">+S89/C89</f>
        <v>0.32409961685823757</v>
      </c>
      <c r="U89" s="87">
        <f aca="true" t="shared" si="39" ref="U89:U115">+C89+D89-Q89</f>
        <v>1691800</v>
      </c>
      <c r="V89" s="88">
        <f aca="true" t="shared" si="40" ref="V89:V95">+U89/C89</f>
        <v>0.32409961685823757</v>
      </c>
      <c r="W89" s="1"/>
      <c r="X89" s="1"/>
      <c r="Y89" s="1"/>
      <c r="Z89" s="1"/>
      <c r="AA89" s="1"/>
      <c r="AB89" s="1"/>
    </row>
    <row r="90" spans="1:28" s="10" customFormat="1" ht="15">
      <c r="A90" s="122" t="s">
        <v>308</v>
      </c>
      <c r="B90" s="9" t="s">
        <v>309</v>
      </c>
      <c r="C90" s="39">
        <f>120000*12</f>
        <v>1440000</v>
      </c>
      <c r="D90" s="39"/>
      <c r="E90" s="39">
        <v>1300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/>
      <c r="O90" s="39"/>
      <c r="P90" s="39"/>
      <c r="Q90" s="87">
        <f t="shared" si="35"/>
        <v>1300</v>
      </c>
      <c r="R90" s="88">
        <f>+Q90/C90</f>
        <v>0.0009027777777777777</v>
      </c>
      <c r="S90" s="87">
        <f>+C90-Q90</f>
        <v>1438700</v>
      </c>
      <c r="T90" s="88">
        <f>+S90/C90</f>
        <v>0.9990972222222222</v>
      </c>
      <c r="U90" s="87">
        <f t="shared" si="39"/>
        <v>1438700</v>
      </c>
      <c r="V90" s="88">
        <f t="shared" si="40"/>
        <v>0.9990972222222222</v>
      </c>
      <c r="W90" s="1"/>
      <c r="X90" s="1"/>
      <c r="Y90" s="1"/>
      <c r="Z90" s="1"/>
      <c r="AA90" s="1"/>
      <c r="AB90" s="1"/>
    </row>
    <row r="91" spans="1:28" s="10" customFormat="1" ht="15">
      <c r="A91" s="92" t="s">
        <v>96</v>
      </c>
      <c r="B91" s="9" t="s">
        <v>208</v>
      </c>
      <c r="C91" s="39">
        <v>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/>
      <c r="O91" s="39"/>
      <c r="P91" s="39"/>
      <c r="Q91" s="87">
        <f t="shared" si="35"/>
        <v>0</v>
      </c>
      <c r="R91" s="88" t="e">
        <f>+Q91/C91</f>
        <v>#DIV/0!</v>
      </c>
      <c r="S91" s="87">
        <f t="shared" si="37"/>
        <v>0</v>
      </c>
      <c r="T91" s="88" t="e">
        <f t="shared" si="38"/>
        <v>#DIV/0!</v>
      </c>
      <c r="U91" s="87">
        <f t="shared" si="39"/>
        <v>0</v>
      </c>
      <c r="V91" s="88" t="e">
        <f t="shared" si="40"/>
        <v>#DIV/0!</v>
      </c>
      <c r="W91" s="1"/>
      <c r="X91" s="1"/>
      <c r="Y91" s="1"/>
      <c r="Z91" s="1"/>
      <c r="AA91" s="1"/>
      <c r="AB91" s="1"/>
    </row>
    <row r="92" spans="1:22" s="13" customFormat="1" ht="15">
      <c r="A92" s="20" t="s">
        <v>45</v>
      </c>
      <c r="B92" s="8" t="s">
        <v>197</v>
      </c>
      <c r="C92" s="66">
        <f>+C93+C94+C95+C96</f>
        <v>2052000</v>
      </c>
      <c r="D92" s="66">
        <f>+D93+D94+D95+D96</f>
        <v>7595498.23</v>
      </c>
      <c r="E92" s="66">
        <f>+E94+E95+E96</f>
        <v>942195.18</v>
      </c>
      <c r="F92" s="66">
        <f>+F93+F94+F95+F96</f>
        <v>353505.45</v>
      </c>
      <c r="G92" s="66">
        <f aca="true" t="shared" si="41" ref="G92:P92">+G93+G94+G95+G96</f>
        <v>2193705</v>
      </c>
      <c r="H92" s="66">
        <f>+H93+H94+H95+H96</f>
        <v>316097.6</v>
      </c>
      <c r="I92" s="66">
        <f t="shared" si="41"/>
        <v>125</v>
      </c>
      <c r="J92" s="66">
        <f t="shared" si="41"/>
        <v>151925</v>
      </c>
      <c r="K92" s="66">
        <f t="shared" si="41"/>
        <v>0</v>
      </c>
      <c r="L92" s="66">
        <f>+L93+L94+L95+L96</f>
        <v>456699.01</v>
      </c>
      <c r="M92" s="66">
        <f t="shared" si="41"/>
        <v>612125</v>
      </c>
      <c r="N92" s="66">
        <f t="shared" si="41"/>
        <v>0</v>
      </c>
      <c r="O92" s="66">
        <f t="shared" si="41"/>
        <v>0</v>
      </c>
      <c r="P92" s="66">
        <f t="shared" si="41"/>
        <v>0</v>
      </c>
      <c r="Q92" s="70">
        <f>SUM(E92:P92)</f>
        <v>5026377.24</v>
      </c>
      <c r="R92" s="71">
        <f>+Q92/(C92+D92)</f>
        <v>0.521003178250907</v>
      </c>
      <c r="S92" s="70">
        <f t="shared" si="37"/>
        <v>-2974377.24</v>
      </c>
      <c r="T92" s="71">
        <f t="shared" si="38"/>
        <v>-1.4495015789473686</v>
      </c>
      <c r="U92" s="70">
        <f>+U93+U94+U95+U96</f>
        <v>4621120.99</v>
      </c>
      <c r="V92" s="68">
        <f t="shared" si="40"/>
        <v>2.2520082797270957</v>
      </c>
    </row>
    <row r="93" spans="1:22" s="13" customFormat="1" ht="15">
      <c r="A93" s="97" t="s">
        <v>209</v>
      </c>
      <c r="B93" s="23" t="s">
        <v>210</v>
      </c>
      <c r="C93" s="39">
        <v>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50</v>
      </c>
      <c r="J93" s="38">
        <v>0</v>
      </c>
      <c r="K93" s="38">
        <v>0</v>
      </c>
      <c r="L93" s="38">
        <v>0</v>
      </c>
      <c r="M93" s="38">
        <v>0</v>
      </c>
      <c r="N93" s="38"/>
      <c r="O93" s="38"/>
      <c r="P93" s="38"/>
      <c r="Q93" s="87">
        <f t="shared" si="35"/>
        <v>50</v>
      </c>
      <c r="R93" s="88">
        <f>+Q93/C93</f>
        <v>0.05</v>
      </c>
      <c r="S93" s="87">
        <f t="shared" si="37"/>
        <v>950</v>
      </c>
      <c r="T93" s="88">
        <f t="shared" si="38"/>
        <v>0.95</v>
      </c>
      <c r="U93" s="87">
        <f t="shared" si="39"/>
        <v>950</v>
      </c>
      <c r="V93" s="88">
        <f t="shared" si="40"/>
        <v>0.95</v>
      </c>
    </row>
    <row r="94" spans="1:28" s="3" customFormat="1" ht="15">
      <c r="A94" s="97" t="s">
        <v>124</v>
      </c>
      <c r="B94" s="23" t="s">
        <v>50</v>
      </c>
      <c r="C94" s="39">
        <f>1000+500000+400000</f>
        <v>901000</v>
      </c>
      <c r="D94" s="39"/>
      <c r="E94" s="39">
        <v>0</v>
      </c>
      <c r="F94" s="38">
        <v>0</v>
      </c>
      <c r="G94" s="38">
        <v>0</v>
      </c>
      <c r="H94" s="38">
        <v>0</v>
      </c>
      <c r="I94" s="38">
        <v>75</v>
      </c>
      <c r="J94" s="38">
        <v>0</v>
      </c>
      <c r="K94" s="38">
        <v>0</v>
      </c>
      <c r="L94" s="38">
        <v>456699.01</v>
      </c>
      <c r="M94" s="38">
        <v>407395</v>
      </c>
      <c r="N94" s="38"/>
      <c r="O94" s="38"/>
      <c r="P94" s="38"/>
      <c r="Q94" s="87">
        <f t="shared" si="35"/>
        <v>864169.01</v>
      </c>
      <c r="R94" s="88">
        <f>+Q94/C94</f>
        <v>0.9591220976692564</v>
      </c>
      <c r="S94" s="87">
        <f t="shared" si="37"/>
        <v>36830.98999999999</v>
      </c>
      <c r="T94" s="88">
        <f t="shared" si="38"/>
        <v>0.04087790233074361</v>
      </c>
      <c r="U94" s="87">
        <f t="shared" si="39"/>
        <v>36830.98999999999</v>
      </c>
      <c r="V94" s="88">
        <f t="shared" si="40"/>
        <v>0.04087790233074361</v>
      </c>
      <c r="AB94" s="2"/>
    </row>
    <row r="95" spans="1:28" s="3" customFormat="1" ht="15">
      <c r="A95" s="95" t="s">
        <v>125</v>
      </c>
      <c r="B95" s="22" t="s">
        <v>150</v>
      </c>
      <c r="C95" s="38">
        <f>950000+200000</f>
        <v>1150000</v>
      </c>
      <c r="D95" s="38">
        <f>2539405.63+316097.6+4739995</f>
        <v>7595498.23</v>
      </c>
      <c r="E95" s="38">
        <v>942195.18</v>
      </c>
      <c r="F95" s="38">
        <v>353505.45</v>
      </c>
      <c r="G95" s="38">
        <v>2193705</v>
      </c>
      <c r="H95" s="38">
        <v>316097.6</v>
      </c>
      <c r="I95" s="38">
        <v>0</v>
      </c>
      <c r="J95" s="38">
        <v>151925</v>
      </c>
      <c r="K95" s="38">
        <v>0</v>
      </c>
      <c r="L95" s="38">
        <v>0</v>
      </c>
      <c r="M95" s="38">
        <v>204730</v>
      </c>
      <c r="N95" s="38"/>
      <c r="O95" s="38"/>
      <c r="P95" s="38"/>
      <c r="Q95" s="87">
        <f t="shared" si="35"/>
        <v>4162158.23</v>
      </c>
      <c r="R95" s="88">
        <f>+(C95+D95)/Q95</f>
        <v>2.101193118263551</v>
      </c>
      <c r="S95" s="87">
        <f t="shared" si="37"/>
        <v>-3012158.23</v>
      </c>
      <c r="T95" s="88">
        <f t="shared" si="38"/>
        <v>-2.6192680260869565</v>
      </c>
      <c r="U95" s="87">
        <f t="shared" si="39"/>
        <v>4583340</v>
      </c>
      <c r="V95" s="88">
        <f t="shared" si="40"/>
        <v>3.985513043478261</v>
      </c>
      <c r="AB95" s="2"/>
    </row>
    <row r="96" spans="1:28" s="3" customFormat="1" ht="15">
      <c r="A96" s="95" t="s">
        <v>126</v>
      </c>
      <c r="B96" s="22" t="s">
        <v>54</v>
      </c>
      <c r="C96" s="38">
        <v>0</v>
      </c>
      <c r="D96" s="38"/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/>
      <c r="O96" s="38"/>
      <c r="P96" s="38"/>
      <c r="Q96" s="87">
        <f t="shared" si="35"/>
        <v>0</v>
      </c>
      <c r="R96" s="88" t="e">
        <f>+Q96/(D96+C96)</f>
        <v>#DIV/0!</v>
      </c>
      <c r="S96" s="87">
        <f t="shared" si="37"/>
        <v>0</v>
      </c>
      <c r="T96" s="88" t="e">
        <f t="shared" si="38"/>
        <v>#DIV/0!</v>
      </c>
      <c r="U96" s="87">
        <f t="shared" si="39"/>
        <v>0</v>
      </c>
      <c r="V96" s="88" t="e">
        <f aca="true" t="shared" si="42" ref="V96:V115">+U96/C96</f>
        <v>#DIV/0!</v>
      </c>
      <c r="AB96" s="2"/>
    </row>
    <row r="97" spans="1:28" s="3" customFormat="1" ht="15">
      <c r="A97" s="20" t="s">
        <v>213</v>
      </c>
      <c r="B97" s="8" t="s">
        <v>214</v>
      </c>
      <c r="C97" s="66">
        <f>+C98+C99+C100+C101</f>
        <v>1232930</v>
      </c>
      <c r="D97" s="66">
        <f>+D98+D99+D100+D101</f>
        <v>0</v>
      </c>
      <c r="E97" s="66">
        <f>+E98+E99+E100+E101</f>
        <v>0</v>
      </c>
      <c r="F97" s="66">
        <f>+F98+F99+F100+F101</f>
        <v>187918</v>
      </c>
      <c r="G97" s="66">
        <f aca="true" t="shared" si="43" ref="G97:L97">+G98+G99+G100+G101</f>
        <v>0</v>
      </c>
      <c r="H97" s="66">
        <f>+H98+H99+H100+H101</f>
        <v>0</v>
      </c>
      <c r="I97" s="66">
        <f t="shared" si="43"/>
        <v>0</v>
      </c>
      <c r="J97" s="66">
        <f t="shared" si="43"/>
        <v>387800</v>
      </c>
      <c r="K97" s="66">
        <f t="shared" si="43"/>
        <v>22461.16</v>
      </c>
      <c r="L97" s="66">
        <f t="shared" si="43"/>
        <v>2510</v>
      </c>
      <c r="M97" s="66">
        <f>+M98+M99+M100+M101</f>
        <v>174400</v>
      </c>
      <c r="N97" s="66">
        <f>+N98+N99+N100+N101</f>
        <v>0</v>
      </c>
      <c r="O97" s="66">
        <f>+O98+O99+O100+O101</f>
        <v>0</v>
      </c>
      <c r="P97" s="66">
        <f>+P98+P99+P100+P101</f>
        <v>0</v>
      </c>
      <c r="Q97" s="70">
        <f>SUM(E97:P97)</f>
        <v>775089.16</v>
      </c>
      <c r="R97" s="71">
        <f aca="true" t="shared" si="44" ref="R97:R110">+Q97/C97</f>
        <v>0.6286562578572993</v>
      </c>
      <c r="S97" s="70">
        <f t="shared" si="37"/>
        <v>457840.83999999997</v>
      </c>
      <c r="T97" s="71">
        <f t="shared" si="38"/>
        <v>0.3713437421427007</v>
      </c>
      <c r="U97" s="70">
        <f>+C97+D97-Q97</f>
        <v>457840.83999999997</v>
      </c>
      <c r="V97" s="68">
        <f t="shared" si="42"/>
        <v>0.3713437421427007</v>
      </c>
      <c r="AB97" s="2"/>
    </row>
    <row r="98" spans="1:28" s="3" customFormat="1" ht="15">
      <c r="A98" s="95" t="s">
        <v>229</v>
      </c>
      <c r="B98" s="22" t="s">
        <v>230</v>
      </c>
      <c r="C98" s="39">
        <f>100000*12-400000-127070-300000</f>
        <v>372930</v>
      </c>
      <c r="D98" s="39"/>
      <c r="E98" s="39">
        <v>0</v>
      </c>
      <c r="F98" s="39">
        <v>36108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/>
      <c r="O98" s="39"/>
      <c r="P98" s="39"/>
      <c r="Q98" s="87">
        <f t="shared" si="35"/>
        <v>36108</v>
      </c>
      <c r="R98" s="88">
        <f t="shared" si="44"/>
        <v>0.09682245997908455</v>
      </c>
      <c r="S98" s="87">
        <f t="shared" si="37"/>
        <v>336822</v>
      </c>
      <c r="T98" s="88">
        <f t="shared" si="38"/>
        <v>0.9031775400209154</v>
      </c>
      <c r="U98" s="87">
        <f t="shared" si="39"/>
        <v>336822</v>
      </c>
      <c r="V98" s="88">
        <f t="shared" si="42"/>
        <v>0.9031775400209154</v>
      </c>
      <c r="AB98" s="2"/>
    </row>
    <row r="99" spans="1:28" s="3" customFormat="1" ht="15">
      <c r="A99" s="95" t="s">
        <v>231</v>
      </c>
      <c r="B99" s="22" t="s">
        <v>232</v>
      </c>
      <c r="C99" s="39">
        <f>50000*12-300000-100000+200000</f>
        <v>400000</v>
      </c>
      <c r="D99" s="39"/>
      <c r="E99" s="39">
        <v>0</v>
      </c>
      <c r="F99" s="39">
        <v>129685</v>
      </c>
      <c r="G99" s="39">
        <v>0</v>
      </c>
      <c r="H99" s="39">
        <v>0</v>
      </c>
      <c r="I99" s="39">
        <v>0</v>
      </c>
      <c r="J99" s="39">
        <v>188800</v>
      </c>
      <c r="K99" s="39">
        <v>2461.16</v>
      </c>
      <c r="L99" s="39">
        <v>150</v>
      </c>
      <c r="M99" s="39">
        <v>0</v>
      </c>
      <c r="N99" s="39"/>
      <c r="O99" s="39"/>
      <c r="P99" s="39"/>
      <c r="Q99" s="87">
        <f t="shared" si="35"/>
        <v>321096.16</v>
      </c>
      <c r="R99" s="88">
        <f t="shared" si="44"/>
        <v>0.8027403999999999</v>
      </c>
      <c r="S99" s="87">
        <f t="shared" si="37"/>
        <v>78903.84000000003</v>
      </c>
      <c r="T99" s="88">
        <f t="shared" si="38"/>
        <v>0.19725960000000006</v>
      </c>
      <c r="U99" s="87">
        <f t="shared" si="39"/>
        <v>78903.84000000003</v>
      </c>
      <c r="V99" s="88">
        <f t="shared" si="42"/>
        <v>0.19725960000000006</v>
      </c>
      <c r="AB99" s="2"/>
    </row>
    <row r="100" spans="1:28" s="3" customFormat="1" ht="15">
      <c r="A100" s="95" t="s">
        <v>233</v>
      </c>
      <c r="B100" s="22" t="s">
        <v>234</v>
      </c>
      <c r="C100" s="39">
        <f>35000*12-200000</f>
        <v>220000</v>
      </c>
      <c r="D100" s="39"/>
      <c r="E100" s="39">
        <v>0</v>
      </c>
      <c r="F100" s="39">
        <v>22125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2360</v>
      </c>
      <c r="M100" s="39">
        <v>153400</v>
      </c>
      <c r="N100" s="39"/>
      <c r="O100" s="39"/>
      <c r="P100" s="39"/>
      <c r="Q100" s="87">
        <f t="shared" si="35"/>
        <v>177885</v>
      </c>
      <c r="R100" s="88">
        <f t="shared" si="44"/>
        <v>0.8085681818181818</v>
      </c>
      <c r="S100" s="87">
        <f t="shared" si="37"/>
        <v>42115</v>
      </c>
      <c r="T100" s="88">
        <f t="shared" si="38"/>
        <v>0.19143181818181818</v>
      </c>
      <c r="U100" s="87">
        <f t="shared" si="39"/>
        <v>42115</v>
      </c>
      <c r="V100" s="88">
        <f t="shared" si="42"/>
        <v>0.19143181818181818</v>
      </c>
      <c r="AB100" s="2"/>
    </row>
    <row r="101" spans="1:28" s="3" customFormat="1" ht="15">
      <c r="A101" s="95" t="s">
        <v>212</v>
      </c>
      <c r="B101" s="22" t="s">
        <v>211</v>
      </c>
      <c r="C101" s="39">
        <f>30000*12-50000-100000+20000+10000</f>
        <v>240000</v>
      </c>
      <c r="D101" s="39"/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199000</v>
      </c>
      <c r="K101" s="39">
        <v>20000</v>
      </c>
      <c r="L101" s="39">
        <v>0</v>
      </c>
      <c r="M101" s="39">
        <v>21000</v>
      </c>
      <c r="N101" s="39"/>
      <c r="O101" s="39"/>
      <c r="P101" s="39"/>
      <c r="Q101" s="87">
        <f t="shared" si="35"/>
        <v>240000</v>
      </c>
      <c r="R101" s="88">
        <f t="shared" si="44"/>
        <v>1</v>
      </c>
      <c r="S101" s="87">
        <f t="shared" si="37"/>
        <v>0</v>
      </c>
      <c r="T101" s="88">
        <f t="shared" si="38"/>
        <v>0</v>
      </c>
      <c r="U101" s="87">
        <f t="shared" si="39"/>
        <v>0</v>
      </c>
      <c r="V101" s="88">
        <f t="shared" si="42"/>
        <v>0</v>
      </c>
      <c r="AB101" s="2"/>
    </row>
    <row r="102" spans="1:28" s="3" customFormat="1" ht="15">
      <c r="A102" s="20" t="s">
        <v>217</v>
      </c>
      <c r="B102" s="8" t="s">
        <v>218</v>
      </c>
      <c r="C102" s="66">
        <f>+C103+C104</f>
        <v>4747070</v>
      </c>
      <c r="D102" s="66">
        <f>+D103+D104</f>
        <v>2605930</v>
      </c>
      <c r="E102" s="66">
        <f>+E103+E104</f>
        <v>0</v>
      </c>
      <c r="F102" s="66">
        <f>+F103</f>
        <v>3153000</v>
      </c>
      <c r="G102" s="66">
        <f aca="true" t="shared" si="45" ref="G102:L102">+G103</f>
        <v>0</v>
      </c>
      <c r="H102" s="66">
        <f>+H103+H104</f>
        <v>0</v>
      </c>
      <c r="I102" s="66">
        <f>+I103+I104</f>
        <v>0</v>
      </c>
      <c r="J102" s="66">
        <f t="shared" si="45"/>
        <v>3297982</v>
      </c>
      <c r="K102" s="66">
        <f t="shared" si="45"/>
        <v>0</v>
      </c>
      <c r="L102" s="66">
        <f t="shared" si="45"/>
        <v>0</v>
      </c>
      <c r="M102" s="66">
        <f>+M103+M104</f>
        <v>0</v>
      </c>
      <c r="N102" s="66">
        <f>+N103+N104</f>
        <v>0</v>
      </c>
      <c r="O102" s="66">
        <f>+O103+O104</f>
        <v>0</v>
      </c>
      <c r="P102" s="66">
        <f>+P103+P104</f>
        <v>0</v>
      </c>
      <c r="Q102" s="70">
        <f>SUM(E102:P102)</f>
        <v>6450982</v>
      </c>
      <c r="R102" s="71">
        <f t="shared" si="44"/>
        <v>1.358939724925059</v>
      </c>
      <c r="S102" s="70">
        <f t="shared" si="37"/>
        <v>-1703912</v>
      </c>
      <c r="T102" s="71">
        <f t="shared" si="38"/>
        <v>-0.35893972492505904</v>
      </c>
      <c r="U102" s="70">
        <f>+C102+D102-Q102</f>
        <v>902018</v>
      </c>
      <c r="V102" s="68">
        <f t="shared" si="42"/>
        <v>0.1900157360224307</v>
      </c>
      <c r="AB102" s="2"/>
    </row>
    <row r="103" spans="1:28" s="3" customFormat="1" ht="15">
      <c r="A103" s="95" t="s">
        <v>216</v>
      </c>
      <c r="B103" s="22" t="s">
        <v>215</v>
      </c>
      <c r="C103" s="39">
        <f>35000*12+127070+4000000</f>
        <v>4547070</v>
      </c>
      <c r="D103" s="39">
        <v>2605930</v>
      </c>
      <c r="E103" s="39">
        <v>0</v>
      </c>
      <c r="F103" s="39">
        <v>3153000</v>
      </c>
      <c r="G103" s="39">
        <v>0</v>
      </c>
      <c r="H103" s="39">
        <v>0</v>
      </c>
      <c r="I103" s="39">
        <v>0</v>
      </c>
      <c r="J103" s="39">
        <v>3297982</v>
      </c>
      <c r="K103" s="39">
        <v>0</v>
      </c>
      <c r="L103" s="39">
        <v>0</v>
      </c>
      <c r="M103" s="39">
        <v>0</v>
      </c>
      <c r="N103" s="39"/>
      <c r="O103" s="39"/>
      <c r="P103" s="39"/>
      <c r="Q103" s="87">
        <f t="shared" si="35"/>
        <v>6450982</v>
      </c>
      <c r="R103" s="88">
        <f t="shared" si="44"/>
        <v>1.4187118298156836</v>
      </c>
      <c r="S103" s="87">
        <f t="shared" si="37"/>
        <v>-1903912</v>
      </c>
      <c r="T103" s="88">
        <f t="shared" si="38"/>
        <v>-0.4187118298156835</v>
      </c>
      <c r="U103" s="87">
        <f t="shared" si="39"/>
        <v>702018</v>
      </c>
      <c r="V103" s="88">
        <f t="shared" si="42"/>
        <v>0.15438909011737229</v>
      </c>
      <c r="AB103" s="2"/>
    </row>
    <row r="104" spans="1:28" s="3" customFormat="1" ht="15">
      <c r="A104" s="95" t="s">
        <v>256</v>
      </c>
      <c r="B104" s="22" t="s">
        <v>255</v>
      </c>
      <c r="C104" s="39">
        <f>50000*12-400000</f>
        <v>200000</v>
      </c>
      <c r="D104" s="39"/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/>
      <c r="O104" s="39"/>
      <c r="P104" s="39"/>
      <c r="Q104" s="87">
        <f t="shared" si="35"/>
        <v>0</v>
      </c>
      <c r="R104" s="88">
        <f t="shared" si="44"/>
        <v>0</v>
      </c>
      <c r="S104" s="87">
        <f t="shared" si="37"/>
        <v>200000</v>
      </c>
      <c r="T104" s="88">
        <f t="shared" si="38"/>
        <v>1</v>
      </c>
      <c r="U104" s="87">
        <f t="shared" si="39"/>
        <v>200000</v>
      </c>
      <c r="V104" s="88">
        <f t="shared" si="42"/>
        <v>1</v>
      </c>
      <c r="AB104" s="2"/>
    </row>
    <row r="105" spans="1:28" s="12" customFormat="1" ht="15">
      <c r="A105" s="20" t="s">
        <v>55</v>
      </c>
      <c r="B105" s="8" t="s">
        <v>198</v>
      </c>
      <c r="C105" s="66">
        <f>+C107+C108+C109</f>
        <v>2060000</v>
      </c>
      <c r="D105" s="66">
        <f>+D107+D108+D109</f>
        <v>0</v>
      </c>
      <c r="E105" s="66">
        <f>+E106+E107+E108+E109</f>
        <v>7534.97</v>
      </c>
      <c r="F105" s="66">
        <f>+F107+F109</f>
        <v>160577.6</v>
      </c>
      <c r="G105" s="66">
        <f>+G106+G107+G108+G109</f>
        <v>3633.53</v>
      </c>
      <c r="H105" s="66">
        <f>+H107+H108+H109</f>
        <v>4045</v>
      </c>
      <c r="I105" s="66">
        <f>+I107+I108+I109</f>
        <v>129728.48999999999</v>
      </c>
      <c r="J105" s="66">
        <f>+J106+J107+J108+J109</f>
        <v>188.51</v>
      </c>
      <c r="K105" s="66">
        <f>+K107+K108+K109</f>
        <v>912.98</v>
      </c>
      <c r="L105" s="66">
        <f>+L107+L109</f>
        <v>0</v>
      </c>
      <c r="M105" s="66">
        <f>+M107+M108+M109</f>
        <v>204957.89</v>
      </c>
      <c r="N105" s="66">
        <f>+N107+N108+N109</f>
        <v>0</v>
      </c>
      <c r="O105" s="66">
        <f>+O107+O108+O109</f>
        <v>0</v>
      </c>
      <c r="P105" s="66">
        <f>+P106+P107+P108+P109</f>
        <v>0</v>
      </c>
      <c r="Q105" s="70">
        <f>SUM(E105:P105)</f>
        <v>511578.97</v>
      </c>
      <c r="R105" s="71">
        <f t="shared" si="44"/>
        <v>0.24833930582524272</v>
      </c>
      <c r="S105" s="70">
        <f t="shared" si="37"/>
        <v>1548421.03</v>
      </c>
      <c r="T105" s="71">
        <f t="shared" si="38"/>
        <v>0.7516606941747573</v>
      </c>
      <c r="U105" s="70">
        <f>+U107+U108+U109</f>
        <v>1548421.03</v>
      </c>
      <c r="V105" s="68">
        <f t="shared" si="42"/>
        <v>0.7516606941747573</v>
      </c>
      <c r="W105" s="1"/>
      <c r="X105" s="1"/>
      <c r="Y105" s="1"/>
      <c r="Z105" s="1"/>
      <c r="AA105" s="1"/>
      <c r="AB105" s="1"/>
    </row>
    <row r="106" spans="1:28" s="12" customFormat="1" ht="15">
      <c r="A106" s="130" t="s">
        <v>319</v>
      </c>
      <c r="B106" s="22" t="s">
        <v>316</v>
      </c>
      <c r="C106" s="39">
        <v>0</v>
      </c>
      <c r="D106" s="39"/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/>
      <c r="O106" s="39"/>
      <c r="P106" s="39"/>
      <c r="Q106" s="87">
        <f t="shared" si="35"/>
        <v>0</v>
      </c>
      <c r="R106" s="88" t="e">
        <f>+Q106/C106</f>
        <v>#DIV/0!</v>
      </c>
      <c r="S106" s="87">
        <f>+C106-Q106</f>
        <v>0</v>
      </c>
      <c r="T106" s="88" t="e">
        <f>+S106/C106</f>
        <v>#DIV/0!</v>
      </c>
      <c r="U106" s="87">
        <f>+C106+D106-Q106</f>
        <v>0</v>
      </c>
      <c r="V106" s="88" t="e">
        <f>+U106/C106</f>
        <v>#DIV/0!</v>
      </c>
      <c r="W106" s="1"/>
      <c r="X106" s="1"/>
      <c r="Y106" s="1"/>
      <c r="Z106" s="1"/>
      <c r="AA106" s="1"/>
      <c r="AB106" s="1"/>
    </row>
    <row r="107" spans="1:28" s="3" customFormat="1" ht="15">
      <c r="A107" s="95" t="s">
        <v>97</v>
      </c>
      <c r="B107" s="22" t="s">
        <v>56</v>
      </c>
      <c r="C107" s="39">
        <f>100000*12-500000</f>
        <v>700000</v>
      </c>
      <c r="D107" s="39"/>
      <c r="E107" s="39">
        <v>0</v>
      </c>
      <c r="F107" s="39">
        <v>159677.6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204957.89</v>
      </c>
      <c r="N107" s="39"/>
      <c r="O107" s="39"/>
      <c r="P107" s="39"/>
      <c r="Q107" s="87">
        <f t="shared" si="35"/>
        <v>364635.49</v>
      </c>
      <c r="R107" s="88">
        <f t="shared" si="44"/>
        <v>0.5209078428571429</v>
      </c>
      <c r="S107" s="87">
        <f t="shared" si="37"/>
        <v>335364.51</v>
      </c>
      <c r="T107" s="88">
        <f t="shared" si="38"/>
        <v>0.47909215714285713</v>
      </c>
      <c r="U107" s="87">
        <f t="shared" si="39"/>
        <v>335364.51</v>
      </c>
      <c r="V107" s="88">
        <f t="shared" si="42"/>
        <v>0.47909215714285713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245</v>
      </c>
      <c r="B108" s="22" t="s">
        <v>246</v>
      </c>
      <c r="C108" s="39">
        <f>50000*12-140000</f>
        <v>460000</v>
      </c>
      <c r="D108" s="39"/>
      <c r="E108" s="39">
        <v>2800</v>
      </c>
      <c r="F108" s="39">
        <v>0</v>
      </c>
      <c r="G108" s="39">
        <v>0</v>
      </c>
      <c r="H108" s="39">
        <v>3000</v>
      </c>
      <c r="I108" s="39">
        <v>1929.01</v>
      </c>
      <c r="J108" s="39">
        <v>120.01</v>
      </c>
      <c r="K108" s="39">
        <v>0</v>
      </c>
      <c r="L108" s="39">
        <v>0</v>
      </c>
      <c r="M108" s="39">
        <v>0</v>
      </c>
      <c r="N108" s="39"/>
      <c r="O108" s="39"/>
      <c r="P108" s="39"/>
      <c r="Q108" s="87">
        <f t="shared" si="35"/>
        <v>7849.02</v>
      </c>
      <c r="R108" s="88">
        <f t="shared" si="44"/>
        <v>0.01706308695652174</v>
      </c>
      <c r="S108" s="87">
        <f t="shared" si="37"/>
        <v>452150.98</v>
      </c>
      <c r="T108" s="88">
        <f t="shared" si="38"/>
        <v>0.9829369130434782</v>
      </c>
      <c r="U108" s="87">
        <f t="shared" si="39"/>
        <v>452150.98</v>
      </c>
      <c r="V108" s="88">
        <f t="shared" si="42"/>
        <v>0.9829369130434782</v>
      </c>
      <c r="W108" s="2"/>
      <c r="X108" s="2"/>
      <c r="Y108" s="2"/>
      <c r="Z108" s="2"/>
      <c r="AA108" s="2"/>
      <c r="AB108" s="17"/>
    </row>
    <row r="109" spans="1:28" s="3" customFormat="1" ht="15">
      <c r="A109" s="95" t="s">
        <v>98</v>
      </c>
      <c r="B109" s="22" t="s">
        <v>235</v>
      </c>
      <c r="C109" s="34">
        <f>75000*12</f>
        <v>900000</v>
      </c>
      <c r="D109" s="39"/>
      <c r="E109" s="39">
        <v>4734.97</v>
      </c>
      <c r="F109" s="38">
        <v>900</v>
      </c>
      <c r="G109" s="38">
        <v>3633.53</v>
      </c>
      <c r="H109" s="38">
        <v>1045</v>
      </c>
      <c r="I109" s="38">
        <v>127799.48</v>
      </c>
      <c r="J109" s="38">
        <v>68.5</v>
      </c>
      <c r="K109" s="38">
        <v>912.98</v>
      </c>
      <c r="L109" s="38">
        <v>0</v>
      </c>
      <c r="M109" s="38">
        <v>0</v>
      </c>
      <c r="N109" s="38"/>
      <c r="O109" s="38"/>
      <c r="P109" s="38"/>
      <c r="Q109" s="87">
        <f t="shared" si="35"/>
        <v>139094.46</v>
      </c>
      <c r="R109" s="88">
        <f t="shared" si="44"/>
        <v>0.1545494</v>
      </c>
      <c r="S109" s="87">
        <f t="shared" si="37"/>
        <v>760905.54</v>
      </c>
      <c r="T109" s="88">
        <f t="shared" si="38"/>
        <v>0.8454506</v>
      </c>
      <c r="U109" s="87">
        <f t="shared" si="39"/>
        <v>760905.54</v>
      </c>
      <c r="V109" s="88">
        <f t="shared" si="42"/>
        <v>0.8454506</v>
      </c>
      <c r="W109" s="2"/>
      <c r="X109" s="2"/>
      <c r="Y109" s="2"/>
      <c r="Z109" s="2"/>
      <c r="AA109" s="2"/>
      <c r="AB109" s="17"/>
    </row>
    <row r="110" spans="1:28" s="12" customFormat="1" ht="30">
      <c r="A110" s="86" t="s">
        <v>57</v>
      </c>
      <c r="B110" s="31" t="s">
        <v>199</v>
      </c>
      <c r="C110" s="66">
        <f aca="true" t="shared" si="46" ref="C110:P110">+C111+C112+C113+C114+C115</f>
        <v>3874956</v>
      </c>
      <c r="D110" s="66">
        <f t="shared" si="46"/>
        <v>0</v>
      </c>
      <c r="E110" s="66">
        <f t="shared" si="46"/>
        <v>5795.1</v>
      </c>
      <c r="F110" s="66">
        <f t="shared" si="46"/>
        <v>39087.12</v>
      </c>
      <c r="G110" s="66">
        <f t="shared" si="46"/>
        <v>29972.75</v>
      </c>
      <c r="H110" s="66">
        <f t="shared" si="46"/>
        <v>1142024.9</v>
      </c>
      <c r="I110" s="66">
        <f t="shared" si="46"/>
        <v>3946.18</v>
      </c>
      <c r="J110" s="66">
        <f t="shared" si="46"/>
        <v>931724.2000000001</v>
      </c>
      <c r="K110" s="66">
        <f t="shared" si="46"/>
        <v>301081.4</v>
      </c>
      <c r="L110" s="66">
        <f t="shared" si="46"/>
        <v>680.04</v>
      </c>
      <c r="M110" s="66">
        <f t="shared" si="46"/>
        <v>620</v>
      </c>
      <c r="N110" s="66">
        <f t="shared" si="46"/>
        <v>0</v>
      </c>
      <c r="O110" s="66">
        <f t="shared" si="46"/>
        <v>0</v>
      </c>
      <c r="P110" s="66">
        <f t="shared" si="46"/>
        <v>0</v>
      </c>
      <c r="Q110" s="70">
        <f>SUM(E110:P110)</f>
        <v>2454931.69</v>
      </c>
      <c r="R110" s="71">
        <f t="shared" si="44"/>
        <v>0.6335379524309437</v>
      </c>
      <c r="S110" s="70">
        <f t="shared" si="37"/>
        <v>1420024.31</v>
      </c>
      <c r="T110" s="71">
        <f t="shared" si="38"/>
        <v>0.36646204756905626</v>
      </c>
      <c r="U110" s="70">
        <f>+U111+U112+U113+U114+U115</f>
        <v>1420024.31</v>
      </c>
      <c r="V110" s="68">
        <f t="shared" si="42"/>
        <v>0.36646204756905626</v>
      </c>
      <c r="W110" s="1"/>
      <c r="X110" s="1"/>
      <c r="Y110" s="1"/>
      <c r="Z110" s="1"/>
      <c r="AA110" s="1"/>
      <c r="AB110" s="1"/>
    </row>
    <row r="111" spans="1:28" s="12" customFormat="1" ht="15">
      <c r="A111" s="120" t="s">
        <v>302</v>
      </c>
      <c r="B111" s="22" t="s">
        <v>303</v>
      </c>
      <c r="C111" s="34">
        <f>50000*12</f>
        <v>600000</v>
      </c>
      <c r="D111" s="39"/>
      <c r="E111" s="39">
        <v>0</v>
      </c>
      <c r="F111" s="38">
        <v>0</v>
      </c>
      <c r="G111" s="38">
        <v>970</v>
      </c>
      <c r="H111" s="38">
        <v>150</v>
      </c>
      <c r="I111" s="38">
        <v>0</v>
      </c>
      <c r="J111" s="38">
        <v>125</v>
      </c>
      <c r="K111" s="38">
        <v>0</v>
      </c>
      <c r="L111" s="38">
        <v>0</v>
      </c>
      <c r="M111" s="38">
        <v>0</v>
      </c>
      <c r="N111" s="38"/>
      <c r="O111" s="38"/>
      <c r="P111" s="38"/>
      <c r="Q111" s="87">
        <f t="shared" si="35"/>
        <v>1245</v>
      </c>
      <c r="R111" s="88">
        <f>+Q111/(C111+D111)</f>
        <v>0.002075</v>
      </c>
      <c r="S111" s="87">
        <f>+C111-Q111</f>
        <v>598755</v>
      </c>
      <c r="T111" s="88">
        <f>+S111/C111</f>
        <v>0.997925</v>
      </c>
      <c r="U111" s="87">
        <f t="shared" si="39"/>
        <v>598755</v>
      </c>
      <c r="V111" s="88">
        <f>+U111/C111</f>
        <v>0.997925</v>
      </c>
      <c r="W111" s="1"/>
      <c r="X111" s="1"/>
      <c r="Y111" s="1"/>
      <c r="Z111" s="1"/>
      <c r="AA111" s="1"/>
      <c r="AB111" s="1"/>
    </row>
    <row r="112" spans="1:28" s="12" customFormat="1" ht="15">
      <c r="A112" s="116" t="s">
        <v>247</v>
      </c>
      <c r="B112" s="22" t="s">
        <v>248</v>
      </c>
      <c r="C112" s="34">
        <f>40000*12</f>
        <v>480000</v>
      </c>
      <c r="D112" s="39"/>
      <c r="E112" s="39">
        <v>140</v>
      </c>
      <c r="F112" s="38">
        <v>34686.8</v>
      </c>
      <c r="G112" s="38">
        <v>0</v>
      </c>
      <c r="H112" s="38">
        <v>0</v>
      </c>
      <c r="I112" s="38">
        <v>684.4</v>
      </c>
      <c r="J112" s="38"/>
      <c r="K112" s="38">
        <v>0</v>
      </c>
      <c r="L112" s="38">
        <v>0</v>
      </c>
      <c r="M112" s="38">
        <v>0</v>
      </c>
      <c r="N112" s="38"/>
      <c r="O112" s="38"/>
      <c r="P112" s="38"/>
      <c r="Q112" s="87">
        <f t="shared" si="35"/>
        <v>35511.200000000004</v>
      </c>
      <c r="R112" s="88">
        <v>0</v>
      </c>
      <c r="S112" s="87">
        <f>+C112-Q112</f>
        <v>444488.8</v>
      </c>
      <c r="T112" s="88">
        <f>+S112/C112</f>
        <v>0.9260183333333333</v>
      </c>
      <c r="U112" s="87">
        <f t="shared" si="39"/>
        <v>444488.8</v>
      </c>
      <c r="V112" s="88">
        <f>+U112/C112</f>
        <v>0.9260183333333333</v>
      </c>
      <c r="W112" s="1"/>
      <c r="X112" s="1"/>
      <c r="Y112" s="1"/>
      <c r="Z112" s="1"/>
      <c r="AA112" s="1"/>
      <c r="AB112" s="1"/>
    </row>
    <row r="113" spans="1:28" s="12" customFormat="1" ht="15">
      <c r="A113" s="120" t="s">
        <v>304</v>
      </c>
      <c r="B113" s="22" t="s">
        <v>305</v>
      </c>
      <c r="C113" s="34">
        <v>1200000</v>
      </c>
      <c r="D113" s="39"/>
      <c r="E113" s="39">
        <v>0</v>
      </c>
      <c r="F113" s="38">
        <v>0</v>
      </c>
      <c r="G113" s="38">
        <v>0</v>
      </c>
      <c r="H113" s="38">
        <v>1141424.9</v>
      </c>
      <c r="I113" s="38">
        <v>0</v>
      </c>
      <c r="J113" s="38"/>
      <c r="K113" s="38">
        <v>0</v>
      </c>
      <c r="L113" s="38">
        <v>0</v>
      </c>
      <c r="M113" s="38">
        <v>0</v>
      </c>
      <c r="N113" s="38"/>
      <c r="O113" s="38"/>
      <c r="P113" s="38"/>
      <c r="Q113" s="87">
        <f t="shared" si="35"/>
        <v>1141424.9</v>
      </c>
      <c r="R113" s="88">
        <f>+Q113/(C113+D113)</f>
        <v>0.9511874166666666</v>
      </c>
      <c r="S113" s="87">
        <f>+C113-Q113</f>
        <v>58575.10000000009</v>
      </c>
      <c r="T113" s="88">
        <f>+S113/C113</f>
        <v>0.04881258333333341</v>
      </c>
      <c r="U113" s="87">
        <f t="shared" si="39"/>
        <v>58575.10000000009</v>
      </c>
      <c r="V113" s="88">
        <f>+U113/C113</f>
        <v>0.04881258333333341</v>
      </c>
      <c r="W113" s="1"/>
      <c r="X113" s="1"/>
      <c r="Y113" s="1"/>
      <c r="Z113" s="1"/>
      <c r="AA113" s="1"/>
      <c r="AB113" s="1"/>
    </row>
    <row r="114" spans="1:28" s="12" customFormat="1" ht="15">
      <c r="A114" s="116" t="s">
        <v>166</v>
      </c>
      <c r="B114" s="22" t="s">
        <v>173</v>
      </c>
      <c r="C114" s="34">
        <f>60000*12+300000+300000</f>
        <v>1320000</v>
      </c>
      <c r="D114" s="39"/>
      <c r="E114" s="39">
        <v>4755.1</v>
      </c>
      <c r="F114" s="38">
        <v>4400.32</v>
      </c>
      <c r="G114" s="38">
        <f>168.03+28834.72</f>
        <v>29002.75</v>
      </c>
      <c r="H114" s="38">
        <v>0</v>
      </c>
      <c r="I114" s="38">
        <v>1761.78</v>
      </c>
      <c r="J114" s="38">
        <f>480.02+930779.18</f>
        <v>931259.2000000001</v>
      </c>
      <c r="K114" s="38">
        <f>295401.2+5680.2</f>
        <v>301081.4</v>
      </c>
      <c r="L114" s="38">
        <v>680.04</v>
      </c>
      <c r="M114" s="38">
        <v>620</v>
      </c>
      <c r="N114" s="38"/>
      <c r="O114" s="38"/>
      <c r="P114" s="38"/>
      <c r="Q114" s="87">
        <f t="shared" si="35"/>
        <v>1273560.59</v>
      </c>
      <c r="R114" s="88">
        <f>+Q114/(C114+D114)</f>
        <v>0.9648186287878788</v>
      </c>
      <c r="S114" s="87">
        <f>+C114-Q114</f>
        <v>46439.409999999916</v>
      </c>
      <c r="T114" s="88">
        <f>+S114/C114</f>
        <v>0.03518137121212115</v>
      </c>
      <c r="U114" s="87">
        <f t="shared" si="39"/>
        <v>46439.409999999916</v>
      </c>
      <c r="V114" s="88">
        <f>+U114/C114</f>
        <v>0.03518137121212115</v>
      </c>
      <c r="W114" s="1"/>
      <c r="X114" s="1"/>
      <c r="Y114" s="1"/>
      <c r="Z114" s="1"/>
      <c r="AA114" s="1"/>
      <c r="AB114" s="1"/>
    </row>
    <row r="115" spans="1:28" s="3" customFormat="1" ht="15">
      <c r="A115" s="120" t="s">
        <v>307</v>
      </c>
      <c r="B115" s="22" t="s">
        <v>306</v>
      </c>
      <c r="C115" s="34">
        <f>22913*12</f>
        <v>274956</v>
      </c>
      <c r="D115" s="39"/>
      <c r="E115" s="39">
        <v>900</v>
      </c>
      <c r="F115" s="38">
        <v>0</v>
      </c>
      <c r="G115" s="38">
        <v>0</v>
      </c>
      <c r="H115" s="38">
        <v>450</v>
      </c>
      <c r="I115" s="38">
        <v>1500</v>
      </c>
      <c r="J115" s="38">
        <v>340</v>
      </c>
      <c r="K115" s="38">
        <v>0</v>
      </c>
      <c r="L115" s="38">
        <v>0</v>
      </c>
      <c r="M115" s="38"/>
      <c r="N115" s="38"/>
      <c r="O115" s="38"/>
      <c r="P115" s="38"/>
      <c r="Q115" s="87">
        <f t="shared" si="35"/>
        <v>3190</v>
      </c>
      <c r="R115" s="88">
        <f>+Q115/(C115+D115)</f>
        <v>0.011601856297007522</v>
      </c>
      <c r="S115" s="87">
        <f t="shared" si="37"/>
        <v>271766</v>
      </c>
      <c r="T115" s="88">
        <f t="shared" si="38"/>
        <v>0.9883981437029925</v>
      </c>
      <c r="U115" s="87">
        <f t="shared" si="39"/>
        <v>271766</v>
      </c>
      <c r="V115" s="88">
        <f t="shared" si="42"/>
        <v>0.9883981437029925</v>
      </c>
      <c r="W115" s="2"/>
      <c r="X115" s="2"/>
      <c r="Y115" s="2"/>
      <c r="Z115" s="2"/>
      <c r="AA115" s="2"/>
      <c r="AB115" s="17"/>
    </row>
    <row r="116" spans="1:28" s="3" customFormat="1" ht="15" hidden="1">
      <c r="A116" s="43" t="s">
        <v>58</v>
      </c>
      <c r="B116" s="6" t="s">
        <v>59</v>
      </c>
      <c r="C116" s="54">
        <v>0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52"/>
      <c r="R116" s="52"/>
      <c r="S116" s="55">
        <v>0</v>
      </c>
      <c r="T116" s="55"/>
      <c r="U116" s="52"/>
      <c r="V116" s="52"/>
      <c r="AB116" s="2"/>
    </row>
    <row r="117" spans="1:22" s="13" customFormat="1" ht="30">
      <c r="A117" s="35" t="s">
        <v>60</v>
      </c>
      <c r="B117" s="100" t="s">
        <v>271</v>
      </c>
      <c r="C117" s="66">
        <f>+C118+C119+C120+C121+C123+C124+C126+C129+C130</f>
        <v>64861000</v>
      </c>
      <c r="D117" s="66">
        <f>+D118+D119+D120+D121+D123+D124+D126+D129+D130</f>
        <v>1400000</v>
      </c>
      <c r="E117" s="66">
        <f>+E118+E119+E120+E121+E123+E124+E130+E129</f>
        <v>15791593.63</v>
      </c>
      <c r="F117" s="66">
        <f>+F118+F119+F120+F121+F123+F124+F126+F129+F130</f>
        <v>5083576.33</v>
      </c>
      <c r="G117" s="66">
        <f>+G118+G119+G120+G121+G123+G124+G126+G129+G130</f>
        <v>5930319.130000001</v>
      </c>
      <c r="H117" s="66">
        <f>+H118+H119+H120+H121+H123+H124+H126+H129+H130</f>
        <v>5168632.71</v>
      </c>
      <c r="I117" s="66">
        <f>+I118+I119+I120+I121+I123+I124+I126+I128+I129+I130</f>
        <v>6740073.210000001</v>
      </c>
      <c r="J117" s="66">
        <f>+J118+J119+J120+J121+J123+J124+J130+J129</f>
        <v>6680440.96</v>
      </c>
      <c r="K117" s="66">
        <f>+K118+K119+K120+K121+K123+K124+K126+K127+K128+K129+K130</f>
        <v>6645580.97</v>
      </c>
      <c r="L117" s="66">
        <f>+L118+L119+L120+L121+L123+L124+L130+L129</f>
        <v>5912028.38</v>
      </c>
      <c r="M117" s="66">
        <f>+M118+M119+M120+M121+M123+M124+M126+M129+M130</f>
        <v>5645695.4399999995</v>
      </c>
      <c r="N117" s="66">
        <f>+N118+N119+N120+N121+N123+N124+N130+N129</f>
        <v>0</v>
      </c>
      <c r="O117" s="66">
        <f>+O118+O119+O120+O121+O123+O124+O130+O129</f>
        <v>0</v>
      </c>
      <c r="P117" s="66">
        <f>+P118+P119+P120+P121+P123+P124+P126+P129+P130</f>
        <v>0</v>
      </c>
      <c r="Q117" s="70">
        <f>SUM(E117:P117)</f>
        <v>63597940.760000005</v>
      </c>
      <c r="R117" s="71">
        <f>+Q117/C117</f>
        <v>0.9805266764311374</v>
      </c>
      <c r="S117" s="70">
        <f aca="true" t="shared" si="47" ref="S117:S141">+C117-Q117</f>
        <v>1263059.2399999946</v>
      </c>
      <c r="T117" s="71">
        <f aca="true" t="shared" si="48" ref="T117:T141">+S117/C117</f>
        <v>0.019473323568862562</v>
      </c>
      <c r="U117" s="70">
        <f>+U118+U119+U120+U121+U123+U124+U126+U128+U129+U130</f>
        <v>2664664.239999999</v>
      </c>
      <c r="V117" s="68">
        <f>+U117/C117</f>
        <v>0.041082688210172504</v>
      </c>
    </row>
    <row r="118" spans="1:28" s="3" customFormat="1" ht="15">
      <c r="A118" s="97" t="s">
        <v>99</v>
      </c>
      <c r="B118" s="23" t="s">
        <v>61</v>
      </c>
      <c r="C118" s="38">
        <f>4100000*12-5000000</f>
        <v>44200000</v>
      </c>
      <c r="D118" s="39">
        <v>1400000</v>
      </c>
      <c r="E118" s="39">
        <v>11901824.16</v>
      </c>
      <c r="F118" s="38">
        <v>3295198.81</v>
      </c>
      <c r="G118" s="38">
        <v>4181212.28</v>
      </c>
      <c r="H118" s="38">
        <v>3882698.5</v>
      </c>
      <c r="I118" s="38">
        <v>4164794.44</v>
      </c>
      <c r="J118" s="38">
        <v>4728448.39</v>
      </c>
      <c r="K118" s="38">
        <v>4728159.3</v>
      </c>
      <c r="L118" s="38">
        <v>4139455.35</v>
      </c>
      <c r="M118" s="38">
        <v>4331197.37</v>
      </c>
      <c r="N118" s="38"/>
      <c r="O118" s="38"/>
      <c r="P118" s="38"/>
      <c r="Q118" s="87">
        <f aca="true" t="shared" si="49" ref="Q118:Q141">SUM(E118:P118)</f>
        <v>45352988.6</v>
      </c>
      <c r="R118" s="88">
        <f>+Q118/(D118+C118)</f>
        <v>0.9945830833333333</v>
      </c>
      <c r="S118" s="87">
        <f t="shared" si="47"/>
        <v>-1152988.6000000015</v>
      </c>
      <c r="T118" s="88">
        <f t="shared" si="48"/>
        <v>-0.02608571493212673</v>
      </c>
      <c r="U118" s="87">
        <f aca="true" t="shared" si="50" ref="U118:U141">+C118+D118-Q118</f>
        <v>247011.3999999985</v>
      </c>
      <c r="V118" s="88">
        <f>+U118/C118</f>
        <v>0.005588493212669649</v>
      </c>
      <c r="AB118" s="2"/>
    </row>
    <row r="119" spans="1:28" s="3" customFormat="1" ht="15">
      <c r="A119" s="97" t="s">
        <v>100</v>
      </c>
      <c r="B119" s="23" t="s">
        <v>62</v>
      </c>
      <c r="C119" s="38">
        <f>800000*12+5000000+1000000+1300000</f>
        <v>16900000</v>
      </c>
      <c r="D119" s="39"/>
      <c r="E119" s="39">
        <v>3800360.21</v>
      </c>
      <c r="F119" s="38">
        <v>1701392.82</v>
      </c>
      <c r="G119" s="38">
        <v>1680689.46</v>
      </c>
      <c r="H119" s="38">
        <v>1188573.12</v>
      </c>
      <c r="I119" s="38">
        <v>1838513.05</v>
      </c>
      <c r="J119" s="38">
        <v>1889560.5</v>
      </c>
      <c r="K119" s="38">
        <v>1787859.13</v>
      </c>
      <c r="L119" s="38">
        <v>1707819.19</v>
      </c>
      <c r="M119" s="38">
        <v>1241146.72</v>
      </c>
      <c r="N119" s="38"/>
      <c r="O119" s="38"/>
      <c r="P119" s="38"/>
      <c r="Q119" s="87">
        <f t="shared" si="49"/>
        <v>16835914.2</v>
      </c>
      <c r="R119" s="88">
        <f>+Q119/(D119+C119)</f>
        <v>0.9962079408284024</v>
      </c>
      <c r="S119" s="87">
        <f t="shared" si="47"/>
        <v>64085.800000000745</v>
      </c>
      <c r="T119" s="88">
        <f t="shared" si="48"/>
        <v>0.003792059171597677</v>
      </c>
      <c r="U119" s="87">
        <f t="shared" si="50"/>
        <v>64085.800000000745</v>
      </c>
      <c r="V119" s="88">
        <f>+U119/C119</f>
        <v>0.003792059171597677</v>
      </c>
      <c r="AB119" s="2"/>
    </row>
    <row r="120" spans="1:28" s="3" customFormat="1" ht="15">
      <c r="A120" s="97" t="s">
        <v>101</v>
      </c>
      <c r="B120" s="23" t="s">
        <v>63</v>
      </c>
      <c r="C120" s="38">
        <f>100000*12</f>
        <v>1200000</v>
      </c>
      <c r="D120" s="39"/>
      <c r="E120" s="39">
        <v>28993</v>
      </c>
      <c r="F120" s="38">
        <v>26280</v>
      </c>
      <c r="G120" s="38">
        <v>0</v>
      </c>
      <c r="H120" s="38">
        <v>37938</v>
      </c>
      <c r="I120" s="38">
        <v>32472</v>
      </c>
      <c r="J120" s="38">
        <v>3500</v>
      </c>
      <c r="K120" s="38">
        <v>72738.69</v>
      </c>
      <c r="L120" s="38">
        <v>6000</v>
      </c>
      <c r="M120" s="38">
        <v>15912</v>
      </c>
      <c r="N120" s="38"/>
      <c r="O120" s="38"/>
      <c r="P120" s="38"/>
      <c r="Q120" s="87">
        <f t="shared" si="49"/>
        <v>223833.69</v>
      </c>
      <c r="R120" s="88">
        <v>0</v>
      </c>
      <c r="S120" s="87">
        <f t="shared" si="47"/>
        <v>976166.31</v>
      </c>
      <c r="T120" s="88">
        <f t="shared" si="48"/>
        <v>0.8134719250000001</v>
      </c>
      <c r="U120" s="87">
        <f t="shared" si="50"/>
        <v>976166.31</v>
      </c>
      <c r="V120" s="88">
        <f>+U120/C120</f>
        <v>0.8134719250000001</v>
      </c>
      <c r="AB120" s="2"/>
    </row>
    <row r="121" spans="1:29" s="7" customFormat="1" ht="15">
      <c r="A121" s="162" t="s">
        <v>131</v>
      </c>
      <c r="B121" s="23" t="s">
        <v>65</v>
      </c>
      <c r="C121" s="38">
        <v>1000</v>
      </c>
      <c r="D121" s="39"/>
      <c r="E121" s="39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279</v>
      </c>
      <c r="L121" s="38">
        <v>0</v>
      </c>
      <c r="M121" s="38">
        <v>0</v>
      </c>
      <c r="N121" s="38"/>
      <c r="O121" s="38"/>
      <c r="P121" s="38"/>
      <c r="Q121" s="87">
        <f t="shared" si="49"/>
        <v>279</v>
      </c>
      <c r="R121" s="88">
        <f aca="true" t="shared" si="51" ref="R121:R130">+Q121/C121</f>
        <v>0.279</v>
      </c>
      <c r="S121" s="87">
        <f t="shared" si="47"/>
        <v>721</v>
      </c>
      <c r="T121" s="88">
        <f t="shared" si="48"/>
        <v>0.721</v>
      </c>
      <c r="U121" s="87">
        <f t="shared" si="50"/>
        <v>721</v>
      </c>
      <c r="V121" s="88">
        <f aca="true" t="shared" si="52" ref="V121:V130">+U121/C121</f>
        <v>0.721</v>
      </c>
      <c r="W121" s="3"/>
      <c r="X121" s="3"/>
      <c r="Y121" s="3"/>
      <c r="Z121" s="3"/>
      <c r="AA121" s="3"/>
      <c r="AB121" s="2"/>
      <c r="AC121" s="2"/>
    </row>
    <row r="122" spans="1:29" s="7" customFormat="1" ht="15" hidden="1">
      <c r="A122" s="97" t="s">
        <v>131</v>
      </c>
      <c r="B122" s="23" t="s">
        <v>65</v>
      </c>
      <c r="C122" s="38"/>
      <c r="D122" s="39"/>
      <c r="E122" s="39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87">
        <f t="shared" si="49"/>
        <v>0</v>
      </c>
      <c r="R122" s="88" t="e">
        <f t="shared" si="51"/>
        <v>#DIV/0!</v>
      </c>
      <c r="S122" s="87">
        <f t="shared" si="47"/>
        <v>0</v>
      </c>
      <c r="T122" s="88" t="e">
        <f t="shared" si="48"/>
        <v>#DIV/0!</v>
      </c>
      <c r="U122" s="87">
        <f t="shared" si="50"/>
        <v>0</v>
      </c>
      <c r="V122" s="88" t="e">
        <f t="shared" si="52"/>
        <v>#DIV/0!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97" t="s">
        <v>102</v>
      </c>
      <c r="B123" s="23" t="s">
        <v>66</v>
      </c>
      <c r="C123" s="38">
        <f>100000*12</f>
        <v>1200000</v>
      </c>
      <c r="D123" s="39"/>
      <c r="E123" s="39">
        <v>57806.04</v>
      </c>
      <c r="F123" s="38">
        <v>56949.7</v>
      </c>
      <c r="G123" s="38">
        <v>58253.07</v>
      </c>
      <c r="H123" s="38">
        <v>56274.63</v>
      </c>
      <c r="I123" s="38">
        <v>697515.73</v>
      </c>
      <c r="J123" s="38">
        <v>55012.1</v>
      </c>
      <c r="K123" s="38">
        <v>54439.83</v>
      </c>
      <c r="L123" s="38">
        <v>58463.84</v>
      </c>
      <c r="M123" s="38">
        <v>56949.34</v>
      </c>
      <c r="N123" s="38"/>
      <c r="O123" s="38"/>
      <c r="P123" s="38"/>
      <c r="Q123" s="87">
        <f t="shared" si="49"/>
        <v>1151664.28</v>
      </c>
      <c r="R123" s="88">
        <f t="shared" si="51"/>
        <v>0.9597202333333333</v>
      </c>
      <c r="S123" s="87">
        <f t="shared" si="47"/>
        <v>48335.71999999997</v>
      </c>
      <c r="T123" s="88">
        <f t="shared" si="48"/>
        <v>0.04027976666666664</v>
      </c>
      <c r="U123" s="87">
        <f t="shared" si="50"/>
        <v>48335.71999999997</v>
      </c>
      <c r="V123" s="88">
        <f t="shared" si="52"/>
        <v>0.04027976666666664</v>
      </c>
      <c r="W123" s="3"/>
      <c r="X123" s="3"/>
      <c r="Y123" s="3"/>
      <c r="Z123" s="3"/>
      <c r="AA123" s="3"/>
      <c r="AB123" s="2"/>
      <c r="AC123" s="2"/>
    </row>
    <row r="124" spans="1:29" s="7" customFormat="1" ht="15">
      <c r="A124" s="32" t="s">
        <v>132</v>
      </c>
      <c r="B124" s="23" t="s">
        <v>133</v>
      </c>
      <c r="C124" s="38">
        <v>100000</v>
      </c>
      <c r="D124" s="39"/>
      <c r="E124" s="39">
        <v>0</v>
      </c>
      <c r="F124" s="38">
        <v>1400</v>
      </c>
      <c r="G124" s="38">
        <v>5656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/>
      <c r="O124" s="38"/>
      <c r="P124" s="38"/>
      <c r="Q124" s="87">
        <f t="shared" si="49"/>
        <v>7056</v>
      </c>
      <c r="R124" s="88">
        <f t="shared" si="51"/>
        <v>0.07056</v>
      </c>
      <c r="S124" s="87">
        <f t="shared" si="47"/>
        <v>92944</v>
      </c>
      <c r="T124" s="88">
        <f t="shared" si="48"/>
        <v>0.92944</v>
      </c>
      <c r="U124" s="87">
        <f t="shared" si="50"/>
        <v>92944</v>
      </c>
      <c r="V124" s="88">
        <f t="shared" si="52"/>
        <v>0.92944</v>
      </c>
      <c r="W124" s="3"/>
      <c r="X124" s="3"/>
      <c r="Y124" s="3"/>
      <c r="Z124" s="3"/>
      <c r="AA124" s="3"/>
      <c r="AB124" s="2"/>
      <c r="AC124" s="2"/>
    </row>
    <row r="125" spans="1:29" s="7" customFormat="1" ht="30" hidden="1">
      <c r="A125" s="83" t="s">
        <v>103</v>
      </c>
      <c r="B125" s="28" t="s">
        <v>174</v>
      </c>
      <c r="C125" s="38"/>
      <c r="D125" s="39"/>
      <c r="E125" s="39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87">
        <f t="shared" si="49"/>
        <v>0</v>
      </c>
      <c r="R125" s="88" t="e">
        <f t="shared" si="51"/>
        <v>#DIV/0!</v>
      </c>
      <c r="S125" s="87">
        <f t="shared" si="47"/>
        <v>0</v>
      </c>
      <c r="T125" s="88" t="e">
        <f t="shared" si="48"/>
        <v>#DIV/0!</v>
      </c>
      <c r="U125" s="87">
        <f t="shared" si="50"/>
        <v>0</v>
      </c>
      <c r="V125" s="88" t="e">
        <f t="shared" si="52"/>
        <v>#DIV/0!</v>
      </c>
      <c r="W125" s="3"/>
      <c r="X125" s="3"/>
      <c r="Y125" s="3"/>
      <c r="Z125" s="3"/>
      <c r="AA125" s="3"/>
      <c r="AB125" s="2"/>
      <c r="AC125" s="2"/>
    </row>
    <row r="126" spans="1:29" s="7" customFormat="1" ht="30">
      <c r="A126" s="83" t="s">
        <v>219</v>
      </c>
      <c r="B126" s="28" t="s">
        <v>220</v>
      </c>
      <c r="C126" s="38">
        <v>10000</v>
      </c>
      <c r="D126" s="39"/>
      <c r="E126" s="39">
        <v>0</v>
      </c>
      <c r="F126" s="38">
        <v>0</v>
      </c>
      <c r="G126" s="38">
        <v>1132.32</v>
      </c>
      <c r="H126" s="38">
        <v>368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/>
      <c r="O126" s="38"/>
      <c r="P126" s="38"/>
      <c r="Q126" s="87">
        <f t="shared" si="49"/>
        <v>1500.32</v>
      </c>
      <c r="R126" s="88">
        <f t="shared" si="51"/>
        <v>0.150032</v>
      </c>
      <c r="S126" s="87">
        <f t="shared" si="47"/>
        <v>8499.68</v>
      </c>
      <c r="T126" s="88">
        <f t="shared" si="48"/>
        <v>0.8499680000000001</v>
      </c>
      <c r="U126" s="87">
        <f t="shared" si="50"/>
        <v>8499.68</v>
      </c>
      <c r="V126" s="88">
        <f t="shared" si="52"/>
        <v>0.8499680000000001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355</v>
      </c>
      <c r="B127" s="30" t="s">
        <v>356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605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87">
        <f>SUM(E127:P127)</f>
        <v>605</v>
      </c>
      <c r="R127" s="88">
        <f>+Q127/C127</f>
        <v>0.605</v>
      </c>
      <c r="S127" s="87">
        <f>+C127-Q127</f>
        <v>395</v>
      </c>
      <c r="T127" s="88">
        <f>+S127/C127</f>
        <v>0.395</v>
      </c>
      <c r="U127" s="87">
        <f>+C127+D127-Q127</f>
        <v>395</v>
      </c>
      <c r="V127" s="88">
        <f>+U127/C127</f>
        <v>0.395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338</v>
      </c>
      <c r="B128" s="30" t="s">
        <v>339</v>
      </c>
      <c r="C128" s="38">
        <v>1000</v>
      </c>
      <c r="D128" s="39"/>
      <c r="E128" s="39">
        <v>0</v>
      </c>
      <c r="F128" s="38">
        <v>0</v>
      </c>
      <c r="G128" s="38">
        <v>0</v>
      </c>
      <c r="H128" s="38">
        <v>0</v>
      </c>
      <c r="I128" s="38">
        <v>300</v>
      </c>
      <c r="J128" s="38">
        <v>0</v>
      </c>
      <c r="K128" s="38">
        <v>0</v>
      </c>
      <c r="L128" s="38">
        <v>0</v>
      </c>
      <c r="M128" s="38">
        <v>0</v>
      </c>
      <c r="N128" s="38"/>
      <c r="O128" s="38"/>
      <c r="P128" s="38"/>
      <c r="Q128" s="87">
        <f>SUM(E128:P128)</f>
        <v>300</v>
      </c>
      <c r="R128" s="88">
        <f>+Q128/C128</f>
        <v>0.3</v>
      </c>
      <c r="S128" s="87">
        <f>+C128-Q128</f>
        <v>700</v>
      </c>
      <c r="T128" s="88">
        <f>+S128/C128</f>
        <v>0.7</v>
      </c>
      <c r="U128" s="87">
        <f>+C128+D128-Q128</f>
        <v>700</v>
      </c>
      <c r="V128" s="88">
        <f>+U128/C128</f>
        <v>0.7</v>
      </c>
      <c r="W128" s="3"/>
      <c r="X128" s="3"/>
      <c r="Y128" s="3"/>
      <c r="Z128" s="3"/>
      <c r="AA128" s="3"/>
      <c r="AB128" s="2"/>
      <c r="AC128" s="2"/>
    </row>
    <row r="129" spans="1:29" s="7" customFormat="1" ht="30">
      <c r="A129" s="83" t="s">
        <v>103</v>
      </c>
      <c r="B129" s="30" t="s">
        <v>174</v>
      </c>
      <c r="C129" s="38">
        <f>100000*12</f>
        <v>1200000</v>
      </c>
      <c r="D129" s="39"/>
      <c r="E129" s="39">
        <v>552</v>
      </c>
      <c r="F129" s="38">
        <v>2055</v>
      </c>
      <c r="G129" s="38">
        <v>2000</v>
      </c>
      <c r="H129" s="38">
        <v>1050</v>
      </c>
      <c r="I129" s="38">
        <v>4701.99</v>
      </c>
      <c r="J129" s="38">
        <v>1219.99</v>
      </c>
      <c r="K129" s="38">
        <v>0</v>
      </c>
      <c r="L129" s="38">
        <v>290</v>
      </c>
      <c r="M129" s="38">
        <v>490.01</v>
      </c>
      <c r="N129" s="38"/>
      <c r="O129" s="38"/>
      <c r="P129" s="38"/>
      <c r="Q129" s="87">
        <f t="shared" si="49"/>
        <v>12358.99</v>
      </c>
      <c r="R129" s="88">
        <f t="shared" si="51"/>
        <v>0.010299158333333332</v>
      </c>
      <c r="S129" s="87">
        <f t="shared" si="47"/>
        <v>1187641.01</v>
      </c>
      <c r="T129" s="88">
        <f t="shared" si="48"/>
        <v>0.9897008416666667</v>
      </c>
      <c r="U129" s="87">
        <f t="shared" si="50"/>
        <v>1187641.01</v>
      </c>
      <c r="V129" s="88">
        <f t="shared" si="52"/>
        <v>0.9897008416666667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83" t="s">
        <v>127</v>
      </c>
      <c r="B130" s="28" t="s">
        <v>140</v>
      </c>
      <c r="C130" s="38">
        <v>50000</v>
      </c>
      <c r="D130" s="39"/>
      <c r="E130" s="39">
        <v>2058.22</v>
      </c>
      <c r="F130" s="38">
        <v>300</v>
      </c>
      <c r="G130" s="38">
        <v>1376</v>
      </c>
      <c r="H130" s="38">
        <v>1730.46</v>
      </c>
      <c r="I130" s="38">
        <v>1776</v>
      </c>
      <c r="J130" s="38">
        <v>2699.98</v>
      </c>
      <c r="K130" s="38">
        <v>1500.02</v>
      </c>
      <c r="L130" s="38">
        <v>0</v>
      </c>
      <c r="M130" s="38">
        <v>0</v>
      </c>
      <c r="N130" s="38"/>
      <c r="O130" s="38"/>
      <c r="P130" s="38"/>
      <c r="Q130" s="87">
        <f t="shared" si="49"/>
        <v>11440.68</v>
      </c>
      <c r="R130" s="88">
        <f t="shared" si="51"/>
        <v>0.2288136</v>
      </c>
      <c r="S130" s="87">
        <f t="shared" si="47"/>
        <v>38559.32</v>
      </c>
      <c r="T130" s="88">
        <f t="shared" si="48"/>
        <v>0.7711864</v>
      </c>
      <c r="U130" s="87">
        <f t="shared" si="50"/>
        <v>38559.32</v>
      </c>
      <c r="V130" s="88">
        <f t="shared" si="52"/>
        <v>0.7711864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20" t="s">
        <v>67</v>
      </c>
      <c r="B131" s="8" t="s">
        <v>272</v>
      </c>
      <c r="C131" s="66">
        <f>+C132+C133+C134+C135+C136+C137+C138+C140+C141</f>
        <v>7800000</v>
      </c>
      <c r="D131" s="66">
        <f>+D132+D133+D134+D135+D136+D137+D138+D140+D141</f>
        <v>0</v>
      </c>
      <c r="E131" s="66">
        <f>+E132+E133+E134+E135+E136+E137+E138+E140+E141</f>
        <v>10629.99</v>
      </c>
      <c r="F131" s="66">
        <f>+F132+F133+F134+F135+F136+F137+F138+F139+F140+F141</f>
        <v>1156585.8</v>
      </c>
      <c r="G131" s="66">
        <f>+G132+G133+G134+G135+G136+G137+G138+G140+G141</f>
        <v>892848.58</v>
      </c>
      <c r="H131" s="66">
        <f>+H132+H133+H134+H135+H136+H137+H138+H140+H141</f>
        <v>837286.6599999999</v>
      </c>
      <c r="I131" s="66">
        <f aca="true" t="shared" si="53" ref="I131:P131">+I132+I133+I135+I136+I137+I138+I140+I141</f>
        <v>989512.2600000001</v>
      </c>
      <c r="J131" s="66">
        <f t="shared" si="53"/>
        <v>18534.09</v>
      </c>
      <c r="K131" s="66">
        <f t="shared" si="53"/>
        <v>111572.51</v>
      </c>
      <c r="L131" s="66">
        <f>+L132+L133+L134+L135+L136+L137+L138+L139+L140+L141</f>
        <v>1081735.6</v>
      </c>
      <c r="M131" s="66">
        <f t="shared" si="53"/>
        <v>844353.95</v>
      </c>
      <c r="N131" s="66">
        <f t="shared" si="53"/>
        <v>0</v>
      </c>
      <c r="O131" s="66">
        <f t="shared" si="53"/>
        <v>0</v>
      </c>
      <c r="P131" s="66">
        <f t="shared" si="53"/>
        <v>0</v>
      </c>
      <c r="Q131" s="70">
        <f>SUM(E131:P131)</f>
        <v>5943059.44</v>
      </c>
      <c r="R131" s="71">
        <f>+Q131/(C131+D131)</f>
        <v>0.7619306974358975</v>
      </c>
      <c r="S131" s="70">
        <f t="shared" si="47"/>
        <v>1856940.5599999996</v>
      </c>
      <c r="T131" s="71">
        <f t="shared" si="48"/>
        <v>0.23806930256410253</v>
      </c>
      <c r="U131" s="70">
        <f>+U132+U133+U134+U135+U136+U137+U138+U139+U140+U141</f>
        <v>1886940.5599999996</v>
      </c>
      <c r="V131" s="71">
        <f aca="true" t="shared" si="54" ref="V131:V141">+U131/C131</f>
        <v>0.24191545641025636</v>
      </c>
      <c r="W131" s="3"/>
      <c r="X131" s="3"/>
      <c r="Y131" s="3"/>
      <c r="Z131" s="3"/>
      <c r="AA131" s="3"/>
      <c r="AB131" s="2"/>
      <c r="AC131" s="2"/>
    </row>
    <row r="132" spans="1:29" s="7" customFormat="1" ht="15">
      <c r="A132" s="95" t="s">
        <v>104</v>
      </c>
      <c r="B132" s="23" t="s">
        <v>295</v>
      </c>
      <c r="C132" s="38">
        <f>300000*12-1500000</f>
        <v>2100000</v>
      </c>
      <c r="D132" s="39"/>
      <c r="E132" s="39">
        <v>0</v>
      </c>
      <c r="F132" s="38">
        <v>0</v>
      </c>
      <c r="G132" s="38">
        <v>0</v>
      </c>
      <c r="H132" s="38">
        <v>416</v>
      </c>
      <c r="I132" s="38">
        <v>625028.3</v>
      </c>
      <c r="J132" s="38">
        <v>1350</v>
      </c>
      <c r="K132" s="38">
        <v>0</v>
      </c>
      <c r="L132" s="38">
        <v>671168.92</v>
      </c>
      <c r="M132" s="38">
        <v>0</v>
      </c>
      <c r="N132" s="38"/>
      <c r="O132" s="38"/>
      <c r="P132" s="38"/>
      <c r="Q132" s="87">
        <f t="shared" si="49"/>
        <v>1297963.2200000002</v>
      </c>
      <c r="R132" s="88">
        <f aca="true" t="shared" si="55" ref="R132:R141">+Q132/C132</f>
        <v>0.6180777238095239</v>
      </c>
      <c r="S132" s="87">
        <f t="shared" si="47"/>
        <v>802036.7799999998</v>
      </c>
      <c r="T132" s="88">
        <f t="shared" si="48"/>
        <v>0.3819222761904761</v>
      </c>
      <c r="U132" s="87">
        <f t="shared" si="50"/>
        <v>802036.7799999998</v>
      </c>
      <c r="V132" s="88">
        <f t="shared" si="54"/>
        <v>0.3819222761904761</v>
      </c>
      <c r="W132" s="3"/>
      <c r="X132" s="3"/>
      <c r="Y132" s="3"/>
      <c r="Z132" s="3"/>
      <c r="AA132" s="3"/>
      <c r="AB132" s="2"/>
      <c r="AC132" s="2"/>
    </row>
    <row r="133" spans="1:29" s="7" customFormat="1" ht="33.75" customHeight="1">
      <c r="A133" s="94" t="s">
        <v>105</v>
      </c>
      <c r="B133" s="28" t="s">
        <v>175</v>
      </c>
      <c r="C133" s="38">
        <f>330000*12-1000000</f>
        <v>2960000</v>
      </c>
      <c r="D133" s="39"/>
      <c r="E133" s="39">
        <v>0</v>
      </c>
      <c r="F133" s="38">
        <v>370520</v>
      </c>
      <c r="G133" s="38">
        <v>768906.13</v>
      </c>
      <c r="H133" s="38">
        <v>827665.2</v>
      </c>
      <c r="I133" s="38">
        <v>0</v>
      </c>
      <c r="J133" s="38">
        <v>15740</v>
      </c>
      <c r="K133" s="38">
        <v>0</v>
      </c>
      <c r="L133" s="38">
        <v>1000</v>
      </c>
      <c r="M133" s="38">
        <v>704362.96</v>
      </c>
      <c r="N133" s="38"/>
      <c r="O133" s="38"/>
      <c r="P133" s="38"/>
      <c r="Q133" s="87">
        <f t="shared" si="49"/>
        <v>2688194.29</v>
      </c>
      <c r="R133" s="88">
        <f t="shared" si="55"/>
        <v>0.9081737466216216</v>
      </c>
      <c r="S133" s="87">
        <f t="shared" si="47"/>
        <v>271805.70999999996</v>
      </c>
      <c r="T133" s="88">
        <f t="shared" si="48"/>
        <v>0.09182625337837837</v>
      </c>
      <c r="U133" s="87">
        <f t="shared" si="50"/>
        <v>271805.70999999996</v>
      </c>
      <c r="V133" s="88">
        <f t="shared" si="54"/>
        <v>0.09182625337837837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236</v>
      </c>
      <c r="B134" s="28" t="s">
        <v>237</v>
      </c>
      <c r="C134" s="38">
        <v>50000</v>
      </c>
      <c r="D134" s="39"/>
      <c r="E134" s="39">
        <v>2704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/>
      <c r="O134" s="38"/>
      <c r="P134" s="38"/>
      <c r="Q134" s="87">
        <f t="shared" si="49"/>
        <v>2704</v>
      </c>
      <c r="R134" s="88">
        <f t="shared" si="55"/>
        <v>0.05408</v>
      </c>
      <c r="S134" s="87">
        <f t="shared" si="47"/>
        <v>47296</v>
      </c>
      <c r="T134" s="88">
        <f t="shared" si="48"/>
        <v>0.94592</v>
      </c>
      <c r="U134" s="87">
        <f t="shared" si="50"/>
        <v>47296</v>
      </c>
      <c r="V134" s="88">
        <f t="shared" si="54"/>
        <v>0.94592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128</v>
      </c>
      <c r="B135" s="28" t="s">
        <v>172</v>
      </c>
      <c r="C135" s="38">
        <f>20000+200000+90000</f>
        <v>310000</v>
      </c>
      <c r="D135" s="39"/>
      <c r="E135" s="39">
        <v>442</v>
      </c>
      <c r="F135" s="38">
        <v>0</v>
      </c>
      <c r="G135" s="38">
        <v>0</v>
      </c>
      <c r="H135" s="38">
        <v>0</v>
      </c>
      <c r="I135" s="38">
        <v>200182.55</v>
      </c>
      <c r="J135" s="38">
        <v>0</v>
      </c>
      <c r="K135" s="38">
        <v>0</v>
      </c>
      <c r="L135" s="38">
        <v>90000</v>
      </c>
      <c r="M135" s="38">
        <v>0</v>
      </c>
      <c r="N135" s="38"/>
      <c r="O135" s="38"/>
      <c r="P135" s="38"/>
      <c r="Q135" s="87">
        <f t="shared" si="49"/>
        <v>290624.55</v>
      </c>
      <c r="R135" s="88">
        <f t="shared" si="55"/>
        <v>0.9374985483870968</v>
      </c>
      <c r="S135" s="87">
        <f t="shared" si="47"/>
        <v>19375.45000000001</v>
      </c>
      <c r="T135" s="88">
        <f t="shared" si="48"/>
        <v>0.06250145161290327</v>
      </c>
      <c r="U135" s="87">
        <f t="shared" si="50"/>
        <v>19375.45000000001</v>
      </c>
      <c r="V135" s="88">
        <f t="shared" si="54"/>
        <v>0.06250145161290327</v>
      </c>
      <c r="W135" s="3"/>
      <c r="X135" s="3"/>
      <c r="Y135" s="3"/>
      <c r="Z135" s="3"/>
      <c r="AA135" s="3"/>
      <c r="AB135" s="2"/>
      <c r="AC135" s="2"/>
    </row>
    <row r="136" spans="1:29" s="7" customFormat="1" ht="30">
      <c r="A136" s="94" t="s">
        <v>106</v>
      </c>
      <c r="B136" s="28" t="s">
        <v>185</v>
      </c>
      <c r="C136" s="38">
        <f>150000*12-700000</f>
        <v>1100000</v>
      </c>
      <c r="D136" s="39"/>
      <c r="E136" s="39">
        <v>0</v>
      </c>
      <c r="F136" s="38">
        <v>512810.08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135818</v>
      </c>
      <c r="N136" s="38"/>
      <c r="O136" s="38"/>
      <c r="P136" s="38"/>
      <c r="Q136" s="87">
        <f t="shared" si="49"/>
        <v>648628.0800000001</v>
      </c>
      <c r="R136" s="88">
        <f t="shared" si="55"/>
        <v>0.5896618909090909</v>
      </c>
      <c r="S136" s="87">
        <f t="shared" si="47"/>
        <v>451371.9199999999</v>
      </c>
      <c r="T136" s="88">
        <f t="shared" si="48"/>
        <v>0.410338109090909</v>
      </c>
      <c r="U136" s="87">
        <f t="shared" si="50"/>
        <v>451371.9199999999</v>
      </c>
      <c r="V136" s="88">
        <f t="shared" si="54"/>
        <v>0.410338109090909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107</v>
      </c>
      <c r="B137" s="28" t="s">
        <v>186</v>
      </c>
      <c r="C137" s="38">
        <f>40000*12</f>
        <v>480000</v>
      </c>
      <c r="D137" s="39"/>
      <c r="E137" s="39">
        <v>0</v>
      </c>
      <c r="F137" s="38">
        <v>91686</v>
      </c>
      <c r="G137" s="38">
        <v>0</v>
      </c>
      <c r="H137" s="38">
        <v>0</v>
      </c>
      <c r="I137" s="38">
        <v>163701.4</v>
      </c>
      <c r="J137" s="38">
        <v>0</v>
      </c>
      <c r="K137" s="38">
        <v>580.01</v>
      </c>
      <c r="L137" s="38">
        <v>0</v>
      </c>
      <c r="M137" s="38">
        <v>0</v>
      </c>
      <c r="N137" s="38"/>
      <c r="O137" s="38"/>
      <c r="P137" s="38"/>
      <c r="Q137" s="87">
        <f t="shared" si="49"/>
        <v>255967.41</v>
      </c>
      <c r="R137" s="88">
        <f t="shared" si="55"/>
        <v>0.5332654375</v>
      </c>
      <c r="S137" s="87">
        <f t="shared" si="47"/>
        <v>224032.59</v>
      </c>
      <c r="T137" s="88">
        <f t="shared" si="48"/>
        <v>0.4667345625</v>
      </c>
      <c r="U137" s="87">
        <f t="shared" si="50"/>
        <v>224032.59</v>
      </c>
      <c r="V137" s="88">
        <f t="shared" si="54"/>
        <v>0.4667345625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108</v>
      </c>
      <c r="B138" s="28" t="s">
        <v>68</v>
      </c>
      <c r="C138" s="38">
        <f>50000*12-150000+150000</f>
        <v>600000</v>
      </c>
      <c r="D138" s="39"/>
      <c r="E138" s="39">
        <v>3023.99</v>
      </c>
      <c r="F138" s="38">
        <v>160472.92</v>
      </c>
      <c r="G138" s="38">
        <v>114869.46</v>
      </c>
      <c r="H138" s="38">
        <v>175</v>
      </c>
      <c r="I138" s="38">
        <v>600.01</v>
      </c>
      <c r="J138" s="38">
        <v>1444.09</v>
      </c>
      <c r="K138" s="38">
        <v>4449.5</v>
      </c>
      <c r="L138" s="38">
        <v>309366.07</v>
      </c>
      <c r="M138" s="38">
        <v>4172.99</v>
      </c>
      <c r="N138" s="38"/>
      <c r="O138" s="38"/>
      <c r="P138" s="38"/>
      <c r="Q138" s="87">
        <f t="shared" si="49"/>
        <v>598574.03</v>
      </c>
      <c r="R138" s="88">
        <f t="shared" si="55"/>
        <v>0.9976233833333333</v>
      </c>
      <c r="S138" s="87">
        <f t="shared" si="47"/>
        <v>1425.969999999972</v>
      </c>
      <c r="T138" s="88">
        <f t="shared" si="48"/>
        <v>0.00237661666666662</v>
      </c>
      <c r="U138" s="87">
        <f t="shared" si="50"/>
        <v>1425.969999999972</v>
      </c>
      <c r="V138" s="88">
        <f t="shared" si="54"/>
        <v>0.00237661666666662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133" t="s">
        <v>325</v>
      </c>
      <c r="B139" s="28" t="s">
        <v>324</v>
      </c>
      <c r="C139" s="38">
        <v>30000</v>
      </c>
      <c r="D139" s="39"/>
      <c r="E139" s="39"/>
      <c r="F139" s="38">
        <v>17100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/>
      <c r="O139" s="38"/>
      <c r="P139" s="38"/>
      <c r="Q139" s="87">
        <f>SUM(E139:P139)</f>
        <v>17100</v>
      </c>
      <c r="R139" s="88">
        <f>+Q139/C139</f>
        <v>0.57</v>
      </c>
      <c r="S139" s="87">
        <f>+C139-Q139</f>
        <v>12900</v>
      </c>
      <c r="T139" s="88">
        <f>+S139/C139</f>
        <v>0.43</v>
      </c>
      <c r="U139" s="87">
        <f>+C139+D139-Q139</f>
        <v>12900</v>
      </c>
      <c r="V139" s="88">
        <f>+U139/C139</f>
        <v>0.43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4" t="s">
        <v>129</v>
      </c>
      <c r="B140" s="28" t="s">
        <v>141</v>
      </c>
      <c r="C140" s="38">
        <v>50000</v>
      </c>
      <c r="D140" s="39"/>
      <c r="E140" s="39">
        <v>4460</v>
      </c>
      <c r="F140" s="38">
        <v>3996.8</v>
      </c>
      <c r="G140" s="38">
        <v>9072.99</v>
      </c>
      <c r="H140" s="38">
        <v>9030.46</v>
      </c>
      <c r="I140" s="38">
        <v>0</v>
      </c>
      <c r="J140" s="38">
        <v>0</v>
      </c>
      <c r="K140" s="38">
        <v>3883</v>
      </c>
      <c r="L140" s="38">
        <v>10200.61</v>
      </c>
      <c r="M140" s="38">
        <v>0</v>
      </c>
      <c r="N140" s="38"/>
      <c r="O140" s="38"/>
      <c r="P140" s="38"/>
      <c r="Q140" s="87">
        <f t="shared" si="49"/>
        <v>40643.86</v>
      </c>
      <c r="R140" s="88">
        <f t="shared" si="55"/>
        <v>0.8128772</v>
      </c>
      <c r="S140" s="87">
        <f t="shared" si="47"/>
        <v>9356.14</v>
      </c>
      <c r="T140" s="88">
        <f t="shared" si="48"/>
        <v>0.18712279999999998</v>
      </c>
      <c r="U140" s="87">
        <f t="shared" si="50"/>
        <v>9356.14</v>
      </c>
      <c r="V140" s="88">
        <f t="shared" si="54"/>
        <v>0.18712279999999998</v>
      </c>
      <c r="W140" s="3"/>
      <c r="X140" s="3"/>
      <c r="Y140" s="3"/>
      <c r="Z140" s="3"/>
      <c r="AA140" s="3"/>
      <c r="AB140" s="2"/>
      <c r="AC140" s="2"/>
    </row>
    <row r="141" spans="1:29" s="7" customFormat="1" ht="15">
      <c r="A141" s="95" t="s">
        <v>158</v>
      </c>
      <c r="B141" s="23" t="s">
        <v>159</v>
      </c>
      <c r="C141" s="38">
        <v>150000</v>
      </c>
      <c r="D141" s="39"/>
      <c r="E141" s="39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102660</v>
      </c>
      <c r="L141" s="38">
        <v>0</v>
      </c>
      <c r="M141" s="38">
        <v>0</v>
      </c>
      <c r="N141" s="38"/>
      <c r="O141" s="38"/>
      <c r="P141" s="38"/>
      <c r="Q141" s="87">
        <f t="shared" si="49"/>
        <v>102660</v>
      </c>
      <c r="R141" s="88">
        <f t="shared" si="55"/>
        <v>0.6844</v>
      </c>
      <c r="S141" s="87">
        <f t="shared" si="47"/>
        <v>47340</v>
      </c>
      <c r="T141" s="88">
        <f t="shared" si="48"/>
        <v>0.3156</v>
      </c>
      <c r="U141" s="87">
        <f t="shared" si="50"/>
        <v>47340</v>
      </c>
      <c r="V141" s="88">
        <f t="shared" si="54"/>
        <v>0.3156</v>
      </c>
      <c r="W141" s="3"/>
      <c r="X141" s="3"/>
      <c r="Y141" s="3"/>
      <c r="Z141" s="3"/>
      <c r="AA141" s="3"/>
      <c r="AB141" s="2"/>
      <c r="AC141" s="2"/>
    </row>
    <row r="142" spans="1:29" s="7" customFormat="1" ht="15" hidden="1">
      <c r="A142" s="43" t="s">
        <v>69</v>
      </c>
      <c r="B142" s="6" t="s">
        <v>70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W142" s="3"/>
      <c r="X142" s="3"/>
      <c r="Y142" s="3"/>
      <c r="Z142" s="3"/>
      <c r="AA142" s="3"/>
      <c r="AB142" s="2"/>
      <c r="AC142" s="2"/>
    </row>
    <row r="143" spans="1:28" s="3" customFormat="1" ht="15" hidden="1">
      <c r="A143" s="43" t="s">
        <v>71</v>
      </c>
      <c r="B143" s="6" t="s">
        <v>72</v>
      </c>
      <c r="C143" s="3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52"/>
      <c r="R143" s="52"/>
      <c r="S143" s="56"/>
      <c r="T143" s="56"/>
      <c r="U143" s="52"/>
      <c r="V143" s="52"/>
      <c r="AB143" s="2"/>
    </row>
    <row r="144" spans="1:28" s="3" customFormat="1" ht="30">
      <c r="A144" s="86" t="s">
        <v>73</v>
      </c>
      <c r="B144" s="36" t="s">
        <v>273</v>
      </c>
      <c r="C144" s="66">
        <f>+C146+C147+C148+C149+C150+C151+C157+C158+C159</f>
        <v>7316000</v>
      </c>
      <c r="D144" s="66">
        <f>+D146+D147+D148+D149+D150+D151+D157+D158+D159</f>
        <v>0</v>
      </c>
      <c r="E144" s="66">
        <f>+E147+E148+E149+E150+E151+E157+E158+E159</f>
        <v>493409.85</v>
      </c>
      <c r="F144" s="66">
        <f>+F147+F148+F150+F151+F157+F158+F159</f>
        <v>480703.15</v>
      </c>
      <c r="G144" s="66">
        <f>+G147+G148+G149+G150+G151+G157+G158+G159</f>
        <v>289384</v>
      </c>
      <c r="H144" s="66">
        <f>+H147+H148+H149+H150+H151+H157+H158+H159</f>
        <v>481625</v>
      </c>
      <c r="I144" s="66">
        <f>+I147+I148+I150+I151+I157+I158+I159</f>
        <v>540517.45</v>
      </c>
      <c r="J144" s="66">
        <f>+J146+J147+J148+J149+J150+J151+J157+J158+J159</f>
        <v>938523.42</v>
      </c>
      <c r="K144" s="66">
        <f>+K146+K147+K148+K150+K151+K157+K159</f>
        <v>1497650.78</v>
      </c>
      <c r="L144" s="66">
        <f>+L146+L147+L148+L149+L150+L151+L157+L158+L159</f>
        <v>1021755.8</v>
      </c>
      <c r="M144" s="66">
        <f>+M147+M148+M150+M151+M157+M158+M159</f>
        <v>294705.3</v>
      </c>
      <c r="N144" s="66">
        <f>+N146+N147+N148+N149+N150+N151+N157+N158+N159</f>
        <v>0</v>
      </c>
      <c r="O144" s="66">
        <f>+O146+O147+O148+O149+O150+O151+O157+O158+O159</f>
        <v>0</v>
      </c>
      <c r="P144" s="66">
        <f>+P146+P147+P148+P149+P150+P151+P157+P158+P159</f>
        <v>0</v>
      </c>
      <c r="Q144" s="70">
        <f>SUM(E144:P144)</f>
        <v>6038274.75</v>
      </c>
      <c r="R144" s="71">
        <f aca="true" t="shared" si="56" ref="R144:R159">+Q144/C144</f>
        <v>0.8253519341170038</v>
      </c>
      <c r="S144" s="70">
        <f aca="true" t="shared" si="57" ref="S144:S173">+C144-Q144</f>
        <v>1277725.25</v>
      </c>
      <c r="T144" s="71">
        <f aca="true" t="shared" si="58" ref="T144:T173">+S144/C144</f>
        <v>0.17464806588299617</v>
      </c>
      <c r="U144" s="70">
        <f>+U146+U147+U148+U149+U150+U151+U157+U158+U159</f>
        <v>1277725.25</v>
      </c>
      <c r="V144" s="71">
        <f>+U144/C144</f>
        <v>0.17464806588299617</v>
      </c>
      <c r="AB144" s="2"/>
    </row>
    <row r="145" spans="1:28" s="3" customFormat="1" ht="15" hidden="1">
      <c r="A145" s="43" t="s">
        <v>74</v>
      </c>
      <c r="B145" s="6" t="s">
        <v>75</v>
      </c>
      <c r="C145" s="39">
        <f>2140000-300000-4000-600-210000-150000-1400000-30000-45400</f>
        <v>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52">
        <f>SUM(D145:E145)</f>
        <v>0</v>
      </c>
      <c r="R145" s="45" t="e">
        <f t="shared" si="56"/>
        <v>#DIV/0!</v>
      </c>
      <c r="S145" s="46">
        <f t="shared" si="57"/>
        <v>0</v>
      </c>
      <c r="T145" s="47" t="e">
        <f t="shared" si="58"/>
        <v>#DIV/0!</v>
      </c>
      <c r="U145" s="52" t="e">
        <f>SUM(D145:T145)</f>
        <v>#DIV/0!</v>
      </c>
      <c r="V145" s="45" t="e">
        <f>+U145/#REF!</f>
        <v>#DIV/0!</v>
      </c>
      <c r="AB145" s="2"/>
    </row>
    <row r="146" spans="1:28" s="3" customFormat="1" ht="15">
      <c r="A146" s="101" t="s">
        <v>283</v>
      </c>
      <c r="B146" s="29" t="s">
        <v>282</v>
      </c>
      <c r="C146" s="38">
        <v>0</v>
      </c>
      <c r="D146" s="39"/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/>
      <c r="O146" s="39"/>
      <c r="P146" s="39"/>
      <c r="Q146" s="87">
        <f aca="true" t="shared" si="59" ref="Q146:Q178">SUM(E146:P146)</f>
        <v>0</v>
      </c>
      <c r="R146" s="88" t="e">
        <f t="shared" si="56"/>
        <v>#DIV/0!</v>
      </c>
      <c r="S146" s="87">
        <f t="shared" si="57"/>
        <v>0</v>
      </c>
      <c r="T146" s="88" t="e">
        <f t="shared" si="58"/>
        <v>#DIV/0!</v>
      </c>
      <c r="U146" s="87">
        <f aca="true" t="shared" si="60" ref="U146:U180">+C146+D146-Q146</f>
        <v>0</v>
      </c>
      <c r="V146" s="88" t="e">
        <f aca="true" t="shared" si="61" ref="V146:V167">+U146/C146</f>
        <v>#DIV/0!</v>
      </c>
      <c r="AB146" s="2"/>
    </row>
    <row r="147" spans="1:28" s="3" customFormat="1" ht="30">
      <c r="A147" s="94" t="s">
        <v>109</v>
      </c>
      <c r="B147" s="29" t="s">
        <v>76</v>
      </c>
      <c r="C147" s="38">
        <f>100000*12+100000+170000</f>
        <v>1470000</v>
      </c>
      <c r="D147" s="39"/>
      <c r="E147" s="39">
        <v>0</v>
      </c>
      <c r="F147" s="39">
        <v>62553.65</v>
      </c>
      <c r="G147" s="39">
        <v>0</v>
      </c>
      <c r="H147" s="39">
        <v>0</v>
      </c>
      <c r="I147" s="39">
        <v>0</v>
      </c>
      <c r="J147" s="39">
        <v>0</v>
      </c>
      <c r="K147" s="39">
        <v>1202850.78</v>
      </c>
      <c r="L147" s="39">
        <v>200000</v>
      </c>
      <c r="M147" s="39">
        <v>0</v>
      </c>
      <c r="N147" s="39"/>
      <c r="O147" s="39"/>
      <c r="P147" s="39"/>
      <c r="Q147" s="87">
        <f t="shared" si="59"/>
        <v>1465404.43</v>
      </c>
      <c r="R147" s="88">
        <f t="shared" si="56"/>
        <v>0.9968737619047618</v>
      </c>
      <c r="S147" s="87">
        <f t="shared" si="57"/>
        <v>4595.570000000065</v>
      </c>
      <c r="T147" s="88">
        <f t="shared" si="58"/>
        <v>0.00312623809523814</v>
      </c>
      <c r="U147" s="87">
        <f t="shared" si="60"/>
        <v>4595.570000000065</v>
      </c>
      <c r="V147" s="88">
        <f t="shared" si="61"/>
        <v>0.00312623809523814</v>
      </c>
      <c r="AB147" s="2"/>
    </row>
    <row r="148" spans="1:28" s="3" customFormat="1" ht="30">
      <c r="A148" s="94" t="s">
        <v>144</v>
      </c>
      <c r="B148" s="28" t="s">
        <v>145</v>
      </c>
      <c r="C148" s="38">
        <f>200000+700000</f>
        <v>900000</v>
      </c>
      <c r="D148" s="39"/>
      <c r="E148" s="39">
        <v>90000</v>
      </c>
      <c r="F148" s="39">
        <v>100000</v>
      </c>
      <c r="G148" s="39">
        <v>0</v>
      </c>
      <c r="H148" s="39">
        <v>0</v>
      </c>
      <c r="I148" s="39">
        <v>0</v>
      </c>
      <c r="J148" s="39">
        <v>650000</v>
      </c>
      <c r="K148" s="39">
        <v>0</v>
      </c>
      <c r="L148" s="39">
        <v>0</v>
      </c>
      <c r="M148" s="39">
        <v>0</v>
      </c>
      <c r="N148" s="39"/>
      <c r="O148" s="39"/>
      <c r="P148" s="39"/>
      <c r="Q148" s="87">
        <f t="shared" si="59"/>
        <v>840000</v>
      </c>
      <c r="R148" s="88">
        <f t="shared" si="56"/>
        <v>0.9333333333333333</v>
      </c>
      <c r="S148" s="87">
        <f t="shared" si="57"/>
        <v>60000</v>
      </c>
      <c r="T148" s="88">
        <f t="shared" si="58"/>
        <v>0.06666666666666667</v>
      </c>
      <c r="U148" s="87">
        <f t="shared" si="60"/>
        <v>60000</v>
      </c>
      <c r="V148" s="88">
        <f t="shared" si="61"/>
        <v>0.06666666666666667</v>
      </c>
      <c r="AB148" s="2"/>
    </row>
    <row r="149" spans="1:28" s="3" customFormat="1" ht="15">
      <c r="A149" s="94" t="s">
        <v>137</v>
      </c>
      <c r="B149" s="28" t="s">
        <v>138</v>
      </c>
      <c r="C149" s="38">
        <v>250000</v>
      </c>
      <c r="D149" s="39"/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250000</v>
      </c>
      <c r="M149" s="39">
        <v>0</v>
      </c>
      <c r="N149" s="39"/>
      <c r="O149" s="39"/>
      <c r="P149" s="39"/>
      <c r="Q149" s="87">
        <f t="shared" si="59"/>
        <v>250000</v>
      </c>
      <c r="R149" s="88">
        <f t="shared" si="56"/>
        <v>1</v>
      </c>
      <c r="S149" s="87">
        <f t="shared" si="57"/>
        <v>0</v>
      </c>
      <c r="T149" s="88">
        <f t="shared" si="58"/>
        <v>0</v>
      </c>
      <c r="U149" s="87">
        <f t="shared" si="60"/>
        <v>0</v>
      </c>
      <c r="V149" s="88">
        <f t="shared" si="61"/>
        <v>0</v>
      </c>
      <c r="AB149" s="2"/>
    </row>
    <row r="150" spans="1:28" s="3" customFormat="1" ht="15">
      <c r="A150" s="43" t="s">
        <v>110</v>
      </c>
      <c r="B150" s="6" t="s">
        <v>147</v>
      </c>
      <c r="C150" s="38">
        <f>150000*12</f>
        <v>1800000</v>
      </c>
      <c r="D150" s="39"/>
      <c r="E150" s="39">
        <v>27009.85</v>
      </c>
      <c r="F150" s="39">
        <v>121799.5</v>
      </c>
      <c r="G150" s="39">
        <v>58534</v>
      </c>
      <c r="H150" s="39">
        <v>275875</v>
      </c>
      <c r="I150" s="39">
        <v>184867.45</v>
      </c>
      <c r="J150" s="39">
        <v>42304.5</v>
      </c>
      <c r="K150" s="39">
        <v>0</v>
      </c>
      <c r="L150" s="39">
        <v>325405.8</v>
      </c>
      <c r="M150" s="39">
        <v>8280.3</v>
      </c>
      <c r="N150" s="39"/>
      <c r="O150" s="39"/>
      <c r="P150" s="39"/>
      <c r="Q150" s="87">
        <f t="shared" si="59"/>
        <v>1044076.4000000001</v>
      </c>
      <c r="R150" s="88">
        <f t="shared" si="56"/>
        <v>0.5800424444444445</v>
      </c>
      <c r="S150" s="87">
        <f t="shared" si="57"/>
        <v>755923.5999999999</v>
      </c>
      <c r="T150" s="88">
        <f t="shared" si="58"/>
        <v>0.4199575555555555</v>
      </c>
      <c r="U150" s="87">
        <f t="shared" si="60"/>
        <v>755923.5999999999</v>
      </c>
      <c r="V150" s="88">
        <f t="shared" si="61"/>
        <v>0.4199575555555555</v>
      </c>
      <c r="AB150" s="2"/>
    </row>
    <row r="151" spans="1:28" s="3" customFormat="1" ht="30">
      <c r="A151" s="78" t="s">
        <v>176</v>
      </c>
      <c r="B151" s="14" t="s">
        <v>177</v>
      </c>
      <c r="C151" s="38">
        <v>1416000</v>
      </c>
      <c r="D151" s="39"/>
      <c r="E151" s="39">
        <v>118000</v>
      </c>
      <c r="F151" s="39">
        <v>118000</v>
      </c>
      <c r="G151" s="39">
        <v>118000</v>
      </c>
      <c r="H151" s="39">
        <v>118000</v>
      </c>
      <c r="I151" s="39">
        <v>118000</v>
      </c>
      <c r="J151" s="39">
        <v>118000</v>
      </c>
      <c r="K151" s="39">
        <v>118000</v>
      </c>
      <c r="L151" s="39">
        <v>118000</v>
      </c>
      <c r="M151" s="39">
        <v>128000</v>
      </c>
      <c r="N151" s="39"/>
      <c r="O151" s="39"/>
      <c r="P151" s="39"/>
      <c r="Q151" s="87">
        <f t="shared" si="59"/>
        <v>1072000</v>
      </c>
      <c r="R151" s="88">
        <f t="shared" si="56"/>
        <v>0.7570621468926554</v>
      </c>
      <c r="S151" s="87">
        <f t="shared" si="57"/>
        <v>344000</v>
      </c>
      <c r="T151" s="88">
        <f t="shared" si="58"/>
        <v>0.24293785310734464</v>
      </c>
      <c r="U151" s="87">
        <f t="shared" si="60"/>
        <v>344000</v>
      </c>
      <c r="V151" s="88">
        <f t="shared" si="61"/>
        <v>0.24293785310734464</v>
      </c>
      <c r="AB151" s="2"/>
    </row>
    <row r="152" spans="1:28" s="3" customFormat="1" ht="30" hidden="1">
      <c r="A152" s="78" t="s">
        <v>135</v>
      </c>
      <c r="B152" s="14" t="s">
        <v>134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9"/>
        <v>0</v>
      </c>
      <c r="R152" s="88" t="e">
        <f t="shared" si="56"/>
        <v>#DIV/0!</v>
      </c>
      <c r="S152" s="87">
        <f t="shared" si="57"/>
        <v>0</v>
      </c>
      <c r="T152" s="88" t="e">
        <f t="shared" si="58"/>
        <v>#DIV/0!</v>
      </c>
      <c r="U152" s="87">
        <f t="shared" si="60"/>
        <v>0</v>
      </c>
      <c r="V152" s="88" t="e">
        <f t="shared" si="61"/>
        <v>#DIV/0!</v>
      </c>
      <c r="AB152" s="2"/>
    </row>
    <row r="153" spans="1:28" s="3" customFormat="1" ht="30" hidden="1">
      <c r="A153" s="78" t="s">
        <v>167</v>
      </c>
      <c r="B153" s="58" t="s">
        <v>168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87">
        <f t="shared" si="59"/>
        <v>0</v>
      </c>
      <c r="R153" s="88" t="e">
        <f t="shared" si="56"/>
        <v>#DIV/0!</v>
      </c>
      <c r="S153" s="87">
        <f t="shared" si="57"/>
        <v>0</v>
      </c>
      <c r="T153" s="88" t="e">
        <f t="shared" si="58"/>
        <v>#DIV/0!</v>
      </c>
      <c r="U153" s="87">
        <f t="shared" si="60"/>
        <v>0</v>
      </c>
      <c r="V153" s="88" t="e">
        <f t="shared" si="61"/>
        <v>#DIV/0!</v>
      </c>
      <c r="AB153" s="2"/>
    </row>
    <row r="154" spans="1:28" s="3" customFormat="1" ht="30" hidden="1">
      <c r="A154" s="78" t="s">
        <v>151</v>
      </c>
      <c r="B154" s="33" t="s">
        <v>187</v>
      </c>
      <c r="C154" s="38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87">
        <f t="shared" si="59"/>
        <v>0</v>
      </c>
      <c r="R154" s="88" t="e">
        <f t="shared" si="56"/>
        <v>#DIV/0!</v>
      </c>
      <c r="S154" s="87">
        <f t="shared" si="57"/>
        <v>0</v>
      </c>
      <c r="T154" s="88" t="e">
        <f t="shared" si="58"/>
        <v>#DIV/0!</v>
      </c>
      <c r="U154" s="87">
        <f t="shared" si="60"/>
        <v>0</v>
      </c>
      <c r="V154" s="88" t="e">
        <f t="shared" si="61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6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9"/>
        <v>0</v>
      </c>
      <c r="R155" s="88" t="e">
        <f t="shared" si="56"/>
        <v>#DIV/0!</v>
      </c>
      <c r="S155" s="87">
        <f t="shared" si="57"/>
        <v>0</v>
      </c>
      <c r="T155" s="88" t="e">
        <f t="shared" si="58"/>
        <v>#DIV/0!</v>
      </c>
      <c r="U155" s="87">
        <f t="shared" si="60"/>
        <v>0</v>
      </c>
      <c r="V155" s="88" t="e">
        <f t="shared" si="61"/>
        <v>#DIV/0!</v>
      </c>
      <c r="W155" s="4"/>
      <c r="X155" s="4"/>
      <c r="Y155" s="4"/>
      <c r="Z155" s="4"/>
      <c r="AA155" s="4"/>
      <c r="AB155" s="17"/>
    </row>
    <row r="156" spans="1:28" s="3" customFormat="1" ht="15" hidden="1">
      <c r="A156" s="43"/>
      <c r="B156" s="14"/>
      <c r="C156" s="3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87">
        <f t="shared" si="59"/>
        <v>0</v>
      </c>
      <c r="R156" s="88" t="e">
        <f t="shared" si="56"/>
        <v>#DIV/0!</v>
      </c>
      <c r="S156" s="87">
        <f t="shared" si="57"/>
        <v>0</v>
      </c>
      <c r="T156" s="88" t="e">
        <f t="shared" si="58"/>
        <v>#DIV/0!</v>
      </c>
      <c r="U156" s="87">
        <f t="shared" si="60"/>
        <v>0</v>
      </c>
      <c r="V156" s="88" t="e">
        <f t="shared" si="61"/>
        <v>#DIV/0!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135</v>
      </c>
      <c r="B157" s="14" t="s">
        <v>134</v>
      </c>
      <c r="C157" s="38">
        <f>900000+50000+120000</f>
        <v>1070000</v>
      </c>
      <c r="D157" s="39"/>
      <c r="E157" s="39">
        <v>230000</v>
      </c>
      <c r="F157" s="39">
        <v>50000</v>
      </c>
      <c r="G157" s="39">
        <v>40000</v>
      </c>
      <c r="H157" s="39">
        <v>60000</v>
      </c>
      <c r="I157" s="39">
        <v>210000</v>
      </c>
      <c r="J157" s="39">
        <v>100368.92</v>
      </c>
      <c r="K157" s="39">
        <v>148750</v>
      </c>
      <c r="L157" s="39">
        <v>100000</v>
      </c>
      <c r="M157" s="39">
        <v>130000</v>
      </c>
      <c r="N157" s="39"/>
      <c r="O157" s="39"/>
      <c r="P157" s="39"/>
      <c r="Q157" s="87">
        <f t="shared" si="59"/>
        <v>1069118.92</v>
      </c>
      <c r="R157" s="88">
        <f t="shared" si="56"/>
        <v>0.9991765607476635</v>
      </c>
      <c r="S157" s="87">
        <f t="shared" si="57"/>
        <v>881.0800000000745</v>
      </c>
      <c r="T157" s="88">
        <f t="shared" si="58"/>
        <v>0.0008234392523365182</v>
      </c>
      <c r="U157" s="87">
        <f t="shared" si="60"/>
        <v>881.0800000000745</v>
      </c>
      <c r="V157" s="88">
        <f t="shared" si="61"/>
        <v>0.0008234392523365182</v>
      </c>
      <c r="W157" s="4"/>
      <c r="X157" s="4"/>
      <c r="Y157" s="4"/>
      <c r="Z157" s="4"/>
      <c r="AA157" s="4"/>
      <c r="AB157" s="17"/>
    </row>
    <row r="158" spans="1:28" s="3" customFormat="1" ht="30">
      <c r="A158" s="78" t="s">
        <v>167</v>
      </c>
      <c r="B158" s="58" t="s">
        <v>168</v>
      </c>
      <c r="C158" s="38">
        <v>150000</v>
      </c>
      <c r="D158" s="39"/>
      <c r="E158" s="39">
        <v>0</v>
      </c>
      <c r="F158" s="39">
        <v>0</v>
      </c>
      <c r="G158" s="39">
        <v>45000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/>
      <c r="O158" s="39"/>
      <c r="P158" s="39"/>
      <c r="Q158" s="87">
        <f t="shared" si="59"/>
        <v>45000</v>
      </c>
      <c r="R158" s="88">
        <f t="shared" si="56"/>
        <v>0.3</v>
      </c>
      <c r="S158" s="87">
        <f t="shared" si="57"/>
        <v>105000</v>
      </c>
      <c r="T158" s="88">
        <f t="shared" si="58"/>
        <v>0.7</v>
      </c>
      <c r="U158" s="87">
        <f t="shared" si="60"/>
        <v>105000</v>
      </c>
      <c r="V158" s="88">
        <f t="shared" si="61"/>
        <v>0.7</v>
      </c>
      <c r="W158" s="4"/>
      <c r="X158" s="4"/>
      <c r="Y158" s="4"/>
      <c r="Z158" s="4"/>
      <c r="AA158" s="4"/>
      <c r="AB158" s="17"/>
    </row>
    <row r="159" spans="1:28" s="3" customFormat="1" ht="46.5" customHeight="1">
      <c r="A159" s="78" t="s">
        <v>151</v>
      </c>
      <c r="B159" s="33" t="s">
        <v>187</v>
      </c>
      <c r="C159" s="38">
        <f>200000+30000+30000</f>
        <v>260000</v>
      </c>
      <c r="D159" s="39"/>
      <c r="E159" s="39">
        <v>28400</v>
      </c>
      <c r="F159" s="39">
        <v>28350</v>
      </c>
      <c r="G159" s="39">
        <v>27850</v>
      </c>
      <c r="H159" s="39">
        <v>27750</v>
      </c>
      <c r="I159" s="39">
        <v>27650</v>
      </c>
      <c r="J159" s="39">
        <v>27850</v>
      </c>
      <c r="K159" s="39">
        <v>28050</v>
      </c>
      <c r="L159" s="39">
        <v>28350</v>
      </c>
      <c r="M159" s="39">
        <v>28425</v>
      </c>
      <c r="N159" s="39"/>
      <c r="O159" s="39"/>
      <c r="P159" s="39"/>
      <c r="Q159" s="87">
        <f t="shared" si="59"/>
        <v>252675</v>
      </c>
      <c r="R159" s="88">
        <f t="shared" si="56"/>
        <v>0.9718269230769231</v>
      </c>
      <c r="S159" s="87">
        <f t="shared" si="57"/>
        <v>7325</v>
      </c>
      <c r="T159" s="88">
        <f t="shared" si="58"/>
        <v>0.028173076923076922</v>
      </c>
      <c r="U159" s="87">
        <f t="shared" si="60"/>
        <v>7325</v>
      </c>
      <c r="V159" s="88">
        <f t="shared" si="61"/>
        <v>0.028173076923076922</v>
      </c>
      <c r="W159" s="4"/>
      <c r="X159" s="4"/>
      <c r="Y159" s="4"/>
      <c r="Z159" s="4"/>
      <c r="AA159" s="4"/>
      <c r="AB159" s="17"/>
    </row>
    <row r="160" spans="1:28" s="3" customFormat="1" ht="15">
      <c r="A160" s="20" t="s">
        <v>77</v>
      </c>
      <c r="B160" s="8" t="s">
        <v>274</v>
      </c>
      <c r="C160" s="66">
        <f>+C161+C162+C163+C164</f>
        <v>300000</v>
      </c>
      <c r="D160" s="66">
        <f>+D161+D162+D163+D164</f>
        <v>0</v>
      </c>
      <c r="E160" s="66">
        <f aca="true" t="shared" si="62" ref="E160:P160">+E161+E162+E163+E164</f>
        <v>0</v>
      </c>
      <c r="F160" s="66">
        <f t="shared" si="62"/>
        <v>127524.96</v>
      </c>
      <c r="G160" s="66">
        <f t="shared" si="62"/>
        <v>0</v>
      </c>
      <c r="H160" s="66">
        <f>+H161+H162+H163+H164</f>
        <v>0</v>
      </c>
      <c r="I160" s="66">
        <f t="shared" si="62"/>
        <v>0</v>
      </c>
      <c r="J160" s="66">
        <f t="shared" si="62"/>
        <v>0</v>
      </c>
      <c r="K160" s="66">
        <f t="shared" si="62"/>
        <v>0</v>
      </c>
      <c r="L160" s="66">
        <f t="shared" si="62"/>
        <v>0</v>
      </c>
      <c r="M160" s="66">
        <f t="shared" si="62"/>
        <v>0</v>
      </c>
      <c r="N160" s="66">
        <f t="shared" si="62"/>
        <v>0</v>
      </c>
      <c r="O160" s="66">
        <f t="shared" si="62"/>
        <v>0</v>
      </c>
      <c r="P160" s="66">
        <f t="shared" si="62"/>
        <v>0</v>
      </c>
      <c r="Q160" s="70">
        <f>SUM(E160:P160)</f>
        <v>127524.96</v>
      </c>
      <c r="R160" s="71">
        <f>+Q160/(C160+D160)</f>
        <v>0.4250832</v>
      </c>
      <c r="S160" s="70">
        <f t="shared" si="57"/>
        <v>172475.03999999998</v>
      </c>
      <c r="T160" s="71">
        <f t="shared" si="58"/>
        <v>0.5749167999999999</v>
      </c>
      <c r="U160" s="70">
        <f>+C160+D160-Q160</f>
        <v>172475.03999999998</v>
      </c>
      <c r="V160" s="71">
        <f t="shared" si="61"/>
        <v>0.5749167999999999</v>
      </c>
      <c r="W160" s="4"/>
      <c r="X160" s="4"/>
      <c r="Y160" s="4"/>
      <c r="Z160" s="4"/>
      <c r="AA160" s="4"/>
      <c r="AB160" s="17"/>
    </row>
    <row r="161" spans="1:28" s="10" customFormat="1" ht="15">
      <c r="A161" s="95" t="s">
        <v>111</v>
      </c>
      <c r="B161" s="23" t="s">
        <v>164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/>
      <c r="O161" s="38"/>
      <c r="P161" s="38"/>
      <c r="Q161" s="87">
        <f t="shared" si="59"/>
        <v>0</v>
      </c>
      <c r="R161" s="88" t="e">
        <f>+Q161/C161</f>
        <v>#DIV/0!</v>
      </c>
      <c r="S161" s="87">
        <f t="shared" si="57"/>
        <v>0</v>
      </c>
      <c r="T161" s="88" t="e">
        <f t="shared" si="58"/>
        <v>#DIV/0!</v>
      </c>
      <c r="U161" s="87">
        <f t="shared" si="60"/>
        <v>0</v>
      </c>
      <c r="V161" s="88" t="e">
        <f t="shared" si="61"/>
        <v>#DIV/0!</v>
      </c>
      <c r="AB161" s="1"/>
    </row>
    <row r="162" spans="1:28" s="10" customFormat="1" ht="15">
      <c r="A162" s="94" t="s">
        <v>188</v>
      </c>
      <c r="B162" s="28" t="s">
        <v>189</v>
      </c>
      <c r="C162" s="38">
        <v>0</v>
      </c>
      <c r="D162" s="39"/>
      <c r="E162" s="39">
        <v>0</v>
      </c>
      <c r="F162" s="38">
        <v>0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/>
      <c r="O162" s="38"/>
      <c r="P162" s="38"/>
      <c r="Q162" s="87">
        <f t="shared" si="59"/>
        <v>0</v>
      </c>
      <c r="R162" s="88" t="e">
        <f>+Q162/C162</f>
        <v>#DIV/0!</v>
      </c>
      <c r="S162" s="87">
        <f t="shared" si="57"/>
        <v>0</v>
      </c>
      <c r="T162" s="88" t="e">
        <f t="shared" si="58"/>
        <v>#DIV/0!</v>
      </c>
      <c r="U162" s="87">
        <f t="shared" si="60"/>
        <v>0</v>
      </c>
      <c r="V162" s="88" t="e">
        <f t="shared" si="61"/>
        <v>#DIV/0!</v>
      </c>
      <c r="AB162" s="1"/>
    </row>
    <row r="163" spans="1:28" s="10" customFormat="1" ht="30">
      <c r="A163" s="94" t="s">
        <v>121</v>
      </c>
      <c r="B163" s="28" t="s">
        <v>152</v>
      </c>
      <c r="C163" s="38">
        <v>300000</v>
      </c>
      <c r="D163" s="39"/>
      <c r="E163" s="39">
        <v>0</v>
      </c>
      <c r="F163" s="38">
        <v>127524.96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/>
      <c r="O163" s="38"/>
      <c r="P163" s="38"/>
      <c r="Q163" s="87">
        <f t="shared" si="59"/>
        <v>127524.96</v>
      </c>
      <c r="R163" s="88">
        <f>+Q163/C163</f>
        <v>0.4250832</v>
      </c>
      <c r="S163" s="87">
        <f t="shared" si="57"/>
        <v>172475.03999999998</v>
      </c>
      <c r="T163" s="88">
        <f t="shared" si="58"/>
        <v>0.5749167999999999</v>
      </c>
      <c r="U163" s="87">
        <f t="shared" si="60"/>
        <v>172475.03999999998</v>
      </c>
      <c r="V163" s="88">
        <f t="shared" si="61"/>
        <v>0.5749167999999999</v>
      </c>
      <c r="AB163" s="1"/>
    </row>
    <row r="164" spans="1:28" s="15" customFormat="1" ht="15">
      <c r="A164" s="78" t="s">
        <v>119</v>
      </c>
      <c r="B164" s="58" t="s">
        <v>190</v>
      </c>
      <c r="C164" s="38">
        <v>0</v>
      </c>
      <c r="D164" s="39"/>
      <c r="E164" s="39">
        <v>0</v>
      </c>
      <c r="F164" s="38">
        <v>0</v>
      </c>
      <c r="G164" s="38">
        <v>0</v>
      </c>
      <c r="H164" s="38"/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/>
      <c r="O164" s="38"/>
      <c r="P164" s="38"/>
      <c r="Q164" s="87">
        <f t="shared" si="59"/>
        <v>0</v>
      </c>
      <c r="R164" s="88" t="e">
        <f>+Q164/C164</f>
        <v>#DIV/0!</v>
      </c>
      <c r="S164" s="87">
        <f t="shared" si="57"/>
        <v>0</v>
      </c>
      <c r="T164" s="88" t="e">
        <f t="shared" si="58"/>
        <v>#DIV/0!</v>
      </c>
      <c r="U164" s="87">
        <f t="shared" si="60"/>
        <v>0</v>
      </c>
      <c r="V164" s="88" t="e">
        <f t="shared" si="61"/>
        <v>#DIV/0!</v>
      </c>
      <c r="AB164" s="13"/>
    </row>
    <row r="165" spans="1:28" s="15" customFormat="1" ht="35.25" customHeight="1">
      <c r="A165" s="35" t="s">
        <v>333</v>
      </c>
      <c r="B165" s="85" t="s">
        <v>334</v>
      </c>
      <c r="C165" s="66">
        <f>+C167+C168</f>
        <v>30000</v>
      </c>
      <c r="D165" s="66">
        <f>+D166+D167</f>
        <v>944000</v>
      </c>
      <c r="E165" s="66">
        <f>+E167</f>
        <v>0</v>
      </c>
      <c r="F165" s="66">
        <f>+F167</f>
        <v>0</v>
      </c>
      <c r="G165" s="66">
        <f>+G167</f>
        <v>0</v>
      </c>
      <c r="H165" s="66">
        <f>+H167</f>
        <v>1200</v>
      </c>
      <c r="I165" s="66">
        <f>+I167+I168</f>
        <v>0</v>
      </c>
      <c r="J165" s="66">
        <f>+J167+J168</f>
        <v>0</v>
      </c>
      <c r="K165" s="66">
        <f>+K167</f>
        <v>0</v>
      </c>
      <c r="L165" s="66">
        <f>+L167</f>
        <v>0</v>
      </c>
      <c r="M165" s="66">
        <f>+M166+M167</f>
        <v>944000</v>
      </c>
      <c r="N165" s="66">
        <f>+N167</f>
        <v>0</v>
      </c>
      <c r="O165" s="66">
        <f>+O167</f>
        <v>0</v>
      </c>
      <c r="P165" s="66">
        <f>+P167</f>
        <v>0</v>
      </c>
      <c r="Q165" s="70">
        <f>SUM(E165:P165)</f>
        <v>945200</v>
      </c>
      <c r="R165" s="71">
        <f>+Q165/(C165+D165)</f>
        <v>0.9704312114989733</v>
      </c>
      <c r="S165" s="70">
        <f>+C165-Q165</f>
        <v>-915200</v>
      </c>
      <c r="T165" s="71">
        <f>+S165/C165</f>
        <v>-30.506666666666668</v>
      </c>
      <c r="U165" s="70">
        <f>+C165+D165-Q165</f>
        <v>28800</v>
      </c>
      <c r="V165" s="119">
        <f>+U165/D165</f>
        <v>0.030508474576271188</v>
      </c>
      <c r="AB165" s="13"/>
    </row>
    <row r="166" spans="1:28" s="15" customFormat="1" ht="15">
      <c r="A166" s="165" t="s">
        <v>362</v>
      </c>
      <c r="B166" s="164" t="s">
        <v>361</v>
      </c>
      <c r="C166" s="34">
        <v>0</v>
      </c>
      <c r="D166" s="34">
        <v>944000</v>
      </c>
      <c r="E166" s="39"/>
      <c r="F166" s="39"/>
      <c r="G166" s="38"/>
      <c r="H166" s="38"/>
      <c r="I166" s="38"/>
      <c r="J166" s="38"/>
      <c r="K166" s="38"/>
      <c r="L166" s="38"/>
      <c r="M166" s="38">
        <v>944000</v>
      </c>
      <c r="N166" s="38"/>
      <c r="O166" s="38"/>
      <c r="P166" s="38"/>
      <c r="Q166" s="87">
        <f>SUM(E166:P166)</f>
        <v>944000</v>
      </c>
      <c r="R166" s="88">
        <f>+Q166/(D166+C166)</f>
        <v>1</v>
      </c>
      <c r="S166" s="87">
        <f>+C166-Q166</f>
        <v>-944000</v>
      </c>
      <c r="T166" s="88" t="e">
        <f>+S166/C166</f>
        <v>#DIV/0!</v>
      </c>
      <c r="U166" s="87">
        <f>+C166+D166-Q166</f>
        <v>0</v>
      </c>
      <c r="V166" s="88" t="e">
        <f>+U166/C166</f>
        <v>#DIV/0!</v>
      </c>
      <c r="W166" s="88"/>
      <c r="AB166" s="13"/>
    </row>
    <row r="167" spans="1:28" s="15" customFormat="1" ht="15">
      <c r="A167" s="134" t="s">
        <v>332</v>
      </c>
      <c r="B167" s="102" t="s">
        <v>335</v>
      </c>
      <c r="C167" s="34">
        <v>30000</v>
      </c>
      <c r="D167" s="39"/>
      <c r="E167" s="39"/>
      <c r="F167" s="38"/>
      <c r="G167" s="38"/>
      <c r="H167" s="38">
        <v>1200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/>
      <c r="O167" s="38"/>
      <c r="P167" s="38"/>
      <c r="Q167" s="87">
        <f>SUM(E167:P167)</f>
        <v>1200</v>
      </c>
      <c r="R167" s="88">
        <f>+Q167/(C167+D167)</f>
        <v>0.04</v>
      </c>
      <c r="S167" s="87">
        <f>+C167-Q167</f>
        <v>28800</v>
      </c>
      <c r="T167" s="88">
        <f>+S167/C167</f>
        <v>0.96</v>
      </c>
      <c r="U167" s="87">
        <f>+C167+D167-Q167</f>
        <v>28800</v>
      </c>
      <c r="V167" s="88">
        <f t="shared" si="61"/>
        <v>0.96</v>
      </c>
      <c r="AB167" s="13"/>
    </row>
    <row r="168" spans="1:28" s="15" customFormat="1" ht="30">
      <c r="A168" s="35" t="s">
        <v>257</v>
      </c>
      <c r="B168" s="99" t="s">
        <v>259</v>
      </c>
      <c r="C168" s="66">
        <f>+C169+C170</f>
        <v>0</v>
      </c>
      <c r="D168" s="66">
        <f>+D169+D170</f>
        <v>0</v>
      </c>
      <c r="E168" s="66">
        <f aca="true" t="shared" si="63" ref="E168:P168">+E169</f>
        <v>0</v>
      </c>
      <c r="F168" s="66">
        <f t="shared" si="63"/>
        <v>0</v>
      </c>
      <c r="G168" s="66">
        <f t="shared" si="63"/>
        <v>0</v>
      </c>
      <c r="H168" s="66">
        <f t="shared" si="63"/>
        <v>0</v>
      </c>
      <c r="I168" s="66">
        <f>+I169+I170</f>
        <v>0</v>
      </c>
      <c r="J168" s="66">
        <f>+J169+J170</f>
        <v>0</v>
      </c>
      <c r="K168" s="66">
        <f t="shared" si="63"/>
        <v>0</v>
      </c>
      <c r="L168" s="66">
        <f t="shared" si="63"/>
        <v>0</v>
      </c>
      <c r="M168" s="66">
        <f t="shared" si="63"/>
        <v>0</v>
      </c>
      <c r="N168" s="66">
        <f t="shared" si="63"/>
        <v>0</v>
      </c>
      <c r="O168" s="66">
        <f t="shared" si="63"/>
        <v>0</v>
      </c>
      <c r="P168" s="66">
        <f t="shared" si="63"/>
        <v>0</v>
      </c>
      <c r="Q168" s="70">
        <f>SUM(E168:P168)</f>
        <v>0</v>
      </c>
      <c r="R168" s="71" t="e">
        <f>+Q168/(C168+D168)</f>
        <v>#DIV/0!</v>
      </c>
      <c r="S168" s="70">
        <f>+C168-Q168</f>
        <v>0</v>
      </c>
      <c r="T168" s="71" t="e">
        <f>+S168/C168</f>
        <v>#DIV/0!</v>
      </c>
      <c r="U168" s="70">
        <f>+C168+D168-Q168</f>
        <v>0</v>
      </c>
      <c r="V168" s="119" t="e">
        <f>+U168/D168</f>
        <v>#DIV/0!</v>
      </c>
      <c r="AB168" s="13"/>
    </row>
    <row r="169" spans="1:28" s="15" customFormat="1" ht="15">
      <c r="A169" s="92" t="s">
        <v>179</v>
      </c>
      <c r="B169" s="97" t="s">
        <v>258</v>
      </c>
      <c r="C169" s="34">
        <v>0</v>
      </c>
      <c r="D169" s="39"/>
      <c r="E169" s="39">
        <v>0</v>
      </c>
      <c r="F169" s="38">
        <v>0</v>
      </c>
      <c r="G169" s="38">
        <v>0</v>
      </c>
      <c r="H169" s="38"/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/>
      <c r="O169" s="38"/>
      <c r="P169" s="38"/>
      <c r="Q169" s="87">
        <f t="shared" si="59"/>
        <v>0</v>
      </c>
      <c r="R169" s="88" t="e">
        <f>+Q169/(C169+D169)</f>
        <v>#DIV/0!</v>
      </c>
      <c r="S169" s="87">
        <f t="shared" si="57"/>
        <v>0</v>
      </c>
      <c r="T169" s="88" t="e">
        <f t="shared" si="58"/>
        <v>#DIV/0!</v>
      </c>
      <c r="U169" s="87">
        <f t="shared" si="60"/>
        <v>0</v>
      </c>
      <c r="V169" s="88" t="e">
        <f>+U169/D169</f>
        <v>#DIV/0!</v>
      </c>
      <c r="AB169" s="13"/>
    </row>
    <row r="170" spans="1:28" s="15" customFormat="1" ht="15">
      <c r="A170" s="92" t="s">
        <v>260</v>
      </c>
      <c r="B170" s="97" t="s">
        <v>261</v>
      </c>
      <c r="C170" s="34">
        <v>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/>
      <c r="O170" s="38"/>
      <c r="P170" s="38"/>
      <c r="Q170" s="87">
        <f t="shared" si="59"/>
        <v>0</v>
      </c>
      <c r="R170" s="88" t="e">
        <f>+Q170/(C170+D170)</f>
        <v>#DIV/0!</v>
      </c>
      <c r="S170" s="87">
        <f>+C170-Q170</f>
        <v>0</v>
      </c>
      <c r="T170" s="88" t="e">
        <f>+S170/C170</f>
        <v>#DIV/0!</v>
      </c>
      <c r="U170" s="87">
        <f t="shared" si="60"/>
        <v>0</v>
      </c>
      <c r="V170" s="88" t="e">
        <f>+U170/D170</f>
        <v>#DIV/0!</v>
      </c>
      <c r="AB170" s="13"/>
    </row>
    <row r="171" spans="1:28" s="15" customFormat="1" ht="15">
      <c r="A171" s="20" t="s">
        <v>249</v>
      </c>
      <c r="B171" s="20" t="s">
        <v>251</v>
      </c>
      <c r="C171" s="66">
        <f>+C172+C173</f>
        <v>560000</v>
      </c>
      <c r="D171" s="66">
        <f>+D172+D173</f>
        <v>0</v>
      </c>
      <c r="E171" s="66"/>
      <c r="F171" s="66"/>
      <c r="G171" s="66"/>
      <c r="H171" s="66">
        <f>+H172+H173</f>
        <v>0</v>
      </c>
      <c r="I171" s="66">
        <f>+I172+I173</f>
        <v>0</v>
      </c>
      <c r="J171" s="66">
        <f>+J172+J173</f>
        <v>0</v>
      </c>
      <c r="K171" s="66"/>
      <c r="L171" s="66">
        <f>+L172+L173</f>
        <v>456342.58</v>
      </c>
      <c r="M171" s="66">
        <f>+M172+M173</f>
        <v>0</v>
      </c>
      <c r="N171" s="66">
        <f>+N172+N173</f>
        <v>0</v>
      </c>
      <c r="O171" s="66">
        <f>+O172+O173</f>
        <v>0</v>
      </c>
      <c r="P171" s="66">
        <f>+P172+P173</f>
        <v>0</v>
      </c>
      <c r="Q171" s="70">
        <f>SUM(E171:P171)</f>
        <v>456342.58</v>
      </c>
      <c r="R171" s="71">
        <f>+C172/Q171</f>
        <v>1.2271482534020823</v>
      </c>
      <c r="S171" s="70">
        <f t="shared" si="57"/>
        <v>103657.41999999998</v>
      </c>
      <c r="T171" s="71">
        <f t="shared" si="58"/>
        <v>0.1851025357142857</v>
      </c>
      <c r="U171" s="70">
        <f>+U172+U173</f>
        <v>103657.41999999998</v>
      </c>
      <c r="V171" s="71">
        <f>+U171/C171</f>
        <v>0.1851025357142857</v>
      </c>
      <c r="AB171" s="13"/>
    </row>
    <row r="172" spans="1:28" s="15" customFormat="1" ht="15">
      <c r="A172" s="102" t="s">
        <v>252</v>
      </c>
      <c r="B172" s="23" t="s">
        <v>250</v>
      </c>
      <c r="C172" s="34">
        <v>560000</v>
      </c>
      <c r="D172" s="39"/>
      <c r="E172" s="39">
        <v>0</v>
      </c>
      <c r="F172" s="38">
        <v>0</v>
      </c>
      <c r="G172" s="38">
        <v>0</v>
      </c>
      <c r="H172" s="38"/>
      <c r="I172" s="38">
        <v>0</v>
      </c>
      <c r="J172" s="38">
        <v>0</v>
      </c>
      <c r="K172" s="38">
        <v>0</v>
      </c>
      <c r="L172" s="38">
        <v>456342.58</v>
      </c>
      <c r="M172" s="38">
        <v>0</v>
      </c>
      <c r="N172" s="38"/>
      <c r="O172" s="38"/>
      <c r="P172" s="38"/>
      <c r="Q172" s="87">
        <f t="shared" si="59"/>
        <v>456342.58</v>
      </c>
      <c r="R172" s="88">
        <f>+Q172/C172</f>
        <v>0.8148974642857143</v>
      </c>
      <c r="S172" s="87">
        <f t="shared" si="57"/>
        <v>103657.41999999998</v>
      </c>
      <c r="T172" s="88">
        <f t="shared" si="58"/>
        <v>0.1851025357142857</v>
      </c>
      <c r="U172" s="87">
        <f t="shared" si="60"/>
        <v>103657.41999999998</v>
      </c>
      <c r="V172" s="88">
        <f>+U172/C172</f>
        <v>0.1851025357142857</v>
      </c>
      <c r="AB172" s="13"/>
    </row>
    <row r="173" spans="1:28" s="15" customFormat="1" ht="30">
      <c r="A173" s="118" t="s">
        <v>254</v>
      </c>
      <c r="B173" s="29" t="s">
        <v>253</v>
      </c>
      <c r="C173" s="34">
        <v>0</v>
      </c>
      <c r="D173" s="39"/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/>
      <c r="O173" s="38"/>
      <c r="P173" s="38"/>
      <c r="Q173" s="87">
        <f t="shared" si="59"/>
        <v>0</v>
      </c>
      <c r="R173" s="88" t="e">
        <f>+Q173/C173</f>
        <v>#DIV/0!</v>
      </c>
      <c r="S173" s="87">
        <f t="shared" si="57"/>
        <v>0</v>
      </c>
      <c r="T173" s="88" t="e">
        <f t="shared" si="58"/>
        <v>#DIV/0!</v>
      </c>
      <c r="U173" s="87">
        <f t="shared" si="60"/>
        <v>0</v>
      </c>
      <c r="V173" s="88" t="e">
        <f>+U173/C173</f>
        <v>#DIV/0!</v>
      </c>
      <c r="AB173" s="13"/>
    </row>
    <row r="174" spans="1:28" s="15" customFormat="1" ht="15">
      <c r="A174" s="20" t="s">
        <v>200</v>
      </c>
      <c r="B174" s="20" t="s">
        <v>201</v>
      </c>
      <c r="C174" s="66">
        <f>+C175+C176</f>
        <v>0</v>
      </c>
      <c r="D174" s="66">
        <f>+D175+D176</f>
        <v>1304986.78</v>
      </c>
      <c r="E174" s="66">
        <f aca="true" t="shared" si="64" ref="E174:P174">+E176</f>
        <v>0</v>
      </c>
      <c r="F174" s="66">
        <v>0</v>
      </c>
      <c r="G174" s="66">
        <f t="shared" si="64"/>
        <v>0</v>
      </c>
      <c r="H174" s="66">
        <f>+H176</f>
        <v>0</v>
      </c>
      <c r="I174" s="66">
        <f t="shared" si="64"/>
        <v>0</v>
      </c>
      <c r="J174" s="66">
        <f>+J175+J176</f>
        <v>0</v>
      </c>
      <c r="K174" s="66">
        <f t="shared" si="64"/>
        <v>0</v>
      </c>
      <c r="L174" s="66">
        <f>+L175</f>
        <v>1304986.78</v>
      </c>
      <c r="M174" s="66">
        <f t="shared" si="64"/>
        <v>0</v>
      </c>
      <c r="N174" s="66">
        <f t="shared" si="64"/>
        <v>0</v>
      </c>
      <c r="O174" s="66">
        <f t="shared" si="64"/>
        <v>0</v>
      </c>
      <c r="P174" s="66">
        <f t="shared" si="64"/>
        <v>0</v>
      </c>
      <c r="Q174" s="70">
        <f>SUM(E174:P174)</f>
        <v>1304986.78</v>
      </c>
      <c r="R174" s="71" t="e">
        <f>+Q174/C174</f>
        <v>#DIV/0!</v>
      </c>
      <c r="S174" s="70">
        <f aca="true" t="shared" si="65" ref="S174:S180">+C174-Q174</f>
        <v>-1304986.78</v>
      </c>
      <c r="T174" s="71" t="e">
        <f aca="true" t="shared" si="66" ref="T174:T181">+S174/C174</f>
        <v>#DIV/0!</v>
      </c>
      <c r="U174" s="70">
        <f>+U176</f>
        <v>0</v>
      </c>
      <c r="V174" s="71" t="e">
        <f>+U174/C174</f>
        <v>#DIV/0!</v>
      </c>
      <c r="AB174" s="13"/>
    </row>
    <row r="175" spans="1:28" s="15" customFormat="1" ht="15">
      <c r="A175" s="102" t="s">
        <v>284</v>
      </c>
      <c r="B175" s="23" t="s">
        <v>285</v>
      </c>
      <c r="C175" s="34">
        <v>0</v>
      </c>
      <c r="D175" s="39">
        <v>1304986.78</v>
      </c>
      <c r="E175" s="39">
        <v>0</v>
      </c>
      <c r="F175" s="38">
        <v>0</v>
      </c>
      <c r="G175" s="38">
        <v>0</v>
      </c>
      <c r="H175" s="38"/>
      <c r="I175" s="38">
        <v>0</v>
      </c>
      <c r="J175" s="38">
        <v>0</v>
      </c>
      <c r="K175" s="38">
        <v>0</v>
      </c>
      <c r="L175" s="38">
        <v>1304986.78</v>
      </c>
      <c r="M175" s="38">
        <v>0</v>
      </c>
      <c r="N175" s="38"/>
      <c r="O175" s="38"/>
      <c r="P175" s="38"/>
      <c r="Q175" s="87">
        <f>SUM(E175:P175)</f>
        <v>1304986.78</v>
      </c>
      <c r="R175" s="88">
        <f>+Q175/(D175+C175)</f>
        <v>1</v>
      </c>
      <c r="S175" s="87">
        <f t="shared" si="65"/>
        <v>-1304986.78</v>
      </c>
      <c r="T175" s="88" t="e">
        <f t="shared" si="66"/>
        <v>#DIV/0!</v>
      </c>
      <c r="U175" s="87">
        <f>+C175+D175-Q175</f>
        <v>0</v>
      </c>
      <c r="V175" s="88" t="e">
        <f>+U175/C175</f>
        <v>#DIV/0!</v>
      </c>
      <c r="AB175" s="13"/>
    </row>
    <row r="176" spans="1:28" s="15" customFormat="1" ht="15">
      <c r="A176" s="102" t="s">
        <v>169</v>
      </c>
      <c r="B176" s="23" t="s">
        <v>170</v>
      </c>
      <c r="C176" s="34">
        <v>0</v>
      </c>
      <c r="D176" s="39"/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/>
      <c r="O176" s="38"/>
      <c r="P176" s="38"/>
      <c r="Q176" s="87">
        <f t="shared" si="59"/>
        <v>0</v>
      </c>
      <c r="R176" s="88" t="e">
        <f aca="true" t="shared" si="67" ref="R176:R181">+Q176/C176</f>
        <v>#DIV/0!</v>
      </c>
      <c r="S176" s="87">
        <f t="shared" si="65"/>
        <v>0</v>
      </c>
      <c r="T176" s="88" t="e">
        <f t="shared" si="66"/>
        <v>#DIV/0!</v>
      </c>
      <c r="U176" s="87">
        <f t="shared" si="60"/>
        <v>0</v>
      </c>
      <c r="V176" s="88" t="e">
        <f aca="true" t="shared" si="68" ref="V176:V181">+U176/C176</f>
        <v>#DIV/0!</v>
      </c>
      <c r="AB176" s="13"/>
    </row>
    <row r="177" spans="1:28" s="15" customFormat="1" ht="15">
      <c r="A177" s="20" t="s">
        <v>136</v>
      </c>
      <c r="B177" s="20" t="s">
        <v>155</v>
      </c>
      <c r="C177" s="66">
        <f>+C178</f>
        <v>0</v>
      </c>
      <c r="D177" s="66">
        <f>+D178</f>
        <v>21770383.22</v>
      </c>
      <c r="E177" s="66">
        <f aca="true" t="shared" si="69" ref="E177:P177">+E178</f>
        <v>0</v>
      </c>
      <c r="F177" s="66">
        <f t="shared" si="69"/>
        <v>0</v>
      </c>
      <c r="G177" s="66">
        <f t="shared" si="69"/>
        <v>0</v>
      </c>
      <c r="H177" s="66">
        <f>+H178</f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9013005.15</v>
      </c>
      <c r="N177" s="66">
        <f t="shared" si="69"/>
        <v>0</v>
      </c>
      <c r="O177" s="66">
        <f t="shared" si="69"/>
        <v>0</v>
      </c>
      <c r="P177" s="66">
        <f t="shared" si="69"/>
        <v>0</v>
      </c>
      <c r="Q177" s="70">
        <f>SUM(E177:P177)</f>
        <v>9013005.15</v>
      </c>
      <c r="R177" s="71" t="e">
        <f t="shared" si="67"/>
        <v>#DIV/0!</v>
      </c>
      <c r="S177" s="70">
        <f t="shared" si="65"/>
        <v>-9013005.15</v>
      </c>
      <c r="T177" s="71" t="e">
        <f t="shared" si="66"/>
        <v>#DIV/0!</v>
      </c>
      <c r="U177" s="70">
        <f>+U178</f>
        <v>12757378.069999998</v>
      </c>
      <c r="V177" s="72" t="e">
        <f t="shared" si="68"/>
        <v>#DIV/0!</v>
      </c>
      <c r="AB177" s="13"/>
    </row>
    <row r="178" spans="1:28" s="15" customFormat="1" ht="15">
      <c r="A178" s="102" t="s">
        <v>122</v>
      </c>
      <c r="B178" s="23" t="s">
        <v>123</v>
      </c>
      <c r="C178" s="34">
        <v>0</v>
      </c>
      <c r="D178" s="39">
        <v>21770383.22</v>
      </c>
      <c r="E178" s="39">
        <v>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>
        <v>9013005.15</v>
      </c>
      <c r="N178" s="38"/>
      <c r="O178" s="38"/>
      <c r="P178" s="38"/>
      <c r="Q178" s="87">
        <f t="shared" si="59"/>
        <v>9013005.15</v>
      </c>
      <c r="R178" s="88" t="e">
        <f t="shared" si="67"/>
        <v>#DIV/0!</v>
      </c>
      <c r="S178" s="87">
        <f t="shared" si="65"/>
        <v>-9013005.15</v>
      </c>
      <c r="T178" s="88" t="e">
        <f t="shared" si="66"/>
        <v>#DIV/0!</v>
      </c>
      <c r="U178" s="87">
        <f t="shared" si="60"/>
        <v>12757378.069999998</v>
      </c>
      <c r="V178" s="88" t="e">
        <f t="shared" si="68"/>
        <v>#DIV/0!</v>
      </c>
      <c r="AB178" s="13"/>
    </row>
    <row r="179" spans="1:28" s="15" customFormat="1" ht="15">
      <c r="A179" s="20" t="s">
        <v>153</v>
      </c>
      <c r="B179" s="8" t="s">
        <v>154</v>
      </c>
      <c r="C179" s="66">
        <f>+C180</f>
        <v>320000</v>
      </c>
      <c r="D179" s="66">
        <f>+D180</f>
        <v>0</v>
      </c>
      <c r="E179" s="66">
        <f aca="true" t="shared" si="70" ref="E179:N179">+E180</f>
        <v>160000</v>
      </c>
      <c r="F179" s="66">
        <f t="shared" si="70"/>
        <v>0</v>
      </c>
      <c r="G179" s="66">
        <f t="shared" si="70"/>
        <v>0</v>
      </c>
      <c r="H179" s="66">
        <f t="shared" si="70"/>
        <v>0</v>
      </c>
      <c r="I179" s="66">
        <f t="shared" si="70"/>
        <v>0</v>
      </c>
      <c r="J179" s="66">
        <f t="shared" si="70"/>
        <v>0</v>
      </c>
      <c r="K179" s="66">
        <f t="shared" si="70"/>
        <v>0</v>
      </c>
      <c r="L179" s="66">
        <f t="shared" si="70"/>
        <v>0</v>
      </c>
      <c r="M179" s="66">
        <f t="shared" si="70"/>
        <v>0</v>
      </c>
      <c r="N179" s="66">
        <f t="shared" si="70"/>
        <v>0</v>
      </c>
      <c r="O179" s="66">
        <f>+O180</f>
        <v>0</v>
      </c>
      <c r="P179" s="66">
        <f>+P180</f>
        <v>0</v>
      </c>
      <c r="Q179" s="70">
        <f>SUM(E179:P179)</f>
        <v>160000</v>
      </c>
      <c r="R179" s="71">
        <f t="shared" si="67"/>
        <v>0.5</v>
      </c>
      <c r="S179" s="70">
        <f t="shared" si="65"/>
        <v>160000</v>
      </c>
      <c r="T179" s="71">
        <f t="shared" si="66"/>
        <v>0.5</v>
      </c>
      <c r="U179" s="70">
        <f>+U180</f>
        <v>160000</v>
      </c>
      <c r="V179" s="72">
        <f t="shared" si="68"/>
        <v>0.5</v>
      </c>
      <c r="AB179" s="13"/>
    </row>
    <row r="180" spans="1:28" s="15" customFormat="1" ht="15">
      <c r="A180" s="102" t="s">
        <v>157</v>
      </c>
      <c r="B180" s="23" t="s">
        <v>156</v>
      </c>
      <c r="C180" s="34">
        <v>320000</v>
      </c>
      <c r="D180" s="39"/>
      <c r="E180" s="39">
        <v>160000</v>
      </c>
      <c r="F180" s="38">
        <v>0</v>
      </c>
      <c r="G180" s="38">
        <v>0</v>
      </c>
      <c r="H180" s="38"/>
      <c r="I180" s="38">
        <v>0</v>
      </c>
      <c r="J180" s="38">
        <v>0</v>
      </c>
      <c r="K180" s="38">
        <v>0</v>
      </c>
      <c r="L180" s="38">
        <v>0</v>
      </c>
      <c r="M180" s="38"/>
      <c r="N180" s="38"/>
      <c r="O180" s="38"/>
      <c r="P180" s="38"/>
      <c r="Q180" s="87">
        <f>SUM(E180:P180)</f>
        <v>160000</v>
      </c>
      <c r="R180" s="88">
        <f t="shared" si="67"/>
        <v>0.5</v>
      </c>
      <c r="S180" s="87">
        <f t="shared" si="65"/>
        <v>160000</v>
      </c>
      <c r="T180" s="88">
        <f t="shared" si="66"/>
        <v>0.5</v>
      </c>
      <c r="U180" s="87">
        <f t="shared" si="60"/>
        <v>160000</v>
      </c>
      <c r="V180" s="88">
        <f t="shared" si="68"/>
        <v>0.5</v>
      </c>
      <c r="AB180" s="13"/>
    </row>
    <row r="181" spans="1:28" s="16" customFormat="1" ht="15.75">
      <c r="A181" s="166" t="s">
        <v>275</v>
      </c>
      <c r="B181" s="166"/>
      <c r="C181" s="73">
        <f>+C15+C20+C26+C30+C33+C41+C44+C46+C49+C53+C55+C65+C76+C81+C92+C97+C102+C105+C110+C117+C131+C144+C160+C168+C171+C174+C177+C179+C165</f>
        <v>1773049739.9999998</v>
      </c>
      <c r="D181" s="73">
        <f>+D15+D20+D26+D30+D33+D41+D44+D46+D49+D53+D55+D65+D76+D81+D92+D97+D102+D105+D110+D117+D131+D144+D160+D168+D171+D174+D177+D179</f>
        <v>89359367.14</v>
      </c>
      <c r="E181" s="73">
        <f>+E15+E20+E26+E30+E33+E41+E44+E46+E49+E53+E55+E65+E76+E81+E92+E97+E102+E105+E110+E117+E131+E144+E160+E168+E171+E174+E177+E179</f>
        <v>138636322.07000002</v>
      </c>
      <c r="F181" s="73">
        <f>+F15+F20+F26+F30+F33+F41+F44+F46+F49+F53+F55+F65+F76+F81+F92+F97+F102+F105+F110+F117+F131+F144+F160+F168+F171+F174+F177+F179</f>
        <v>134809057.16</v>
      </c>
      <c r="G181" s="73">
        <f>+G15+G20+G26+G30+G33+G41+G44+G46+G49+G53+G55+G65+G76+G81+G92+G97+G102+G105+G110+G117+G131+G144+G160+G168+G171+G174+G177+G179</f>
        <v>243238847.34</v>
      </c>
      <c r="H181" s="73">
        <f>+H165+H160+H144+H131+H117+H110+H105+H102+H92+H81+H76+H65+H55+H53+H49+H46+H44+H41+H33+H30+H26+H20+H15</f>
        <v>129944630.64</v>
      </c>
      <c r="I181" s="73">
        <f aca="true" t="shared" si="71" ref="I181:P181">+I15+I20+I26+I30+I33+I41+I44+I46+I49+I53+I55+I65+I76+I81+I92+I97+I102+I105+I110+I117+I131+I144+I160+I168+I171+I174+I177+I179</f>
        <v>131666036.92000002</v>
      </c>
      <c r="J181" s="73">
        <f t="shared" si="71"/>
        <v>134749988.38</v>
      </c>
      <c r="K181" s="73">
        <f t="shared" si="71"/>
        <v>146805094.66</v>
      </c>
      <c r="L181" s="73">
        <f>+L15+L20+L26+L30+L33+L41+L44+L46+L49+L53+L55+L65+L76+L81+L92+L97+L102+L105+L110+L117+L131+L144+L160+L168+L171+L174+L177+L179</f>
        <v>140909305.60000005</v>
      </c>
      <c r="M181" s="73">
        <f>+M15+M20+M26+M30+M33+M41+M44+M46+M49+M53+M55+M65+M76+M81+M92+M97+M102+M105+M110+M117+M131+M144+M160+M165+M168+M171+M174+M177</f>
        <v>153480812.72</v>
      </c>
      <c r="N181" s="73">
        <f t="shared" si="71"/>
        <v>0</v>
      </c>
      <c r="O181" s="73">
        <f t="shared" si="71"/>
        <v>0</v>
      </c>
      <c r="P181" s="73">
        <f t="shared" si="71"/>
        <v>0</v>
      </c>
      <c r="Q181" s="74">
        <f>SUM(E181:P181)</f>
        <v>1354240095.4900002</v>
      </c>
      <c r="R181" s="75">
        <f t="shared" si="67"/>
        <v>0.7637913731004525</v>
      </c>
      <c r="S181" s="76" t="e">
        <f>+S160+#REF!+S144+S131+S117+#REF!+#REF!+#REF!+S105+S81+S76+S55+S53+S49+S46+S44+S41+S33+S15+S92</f>
        <v>#REF!</v>
      </c>
      <c r="T181" s="75" t="e">
        <f t="shared" si="66"/>
        <v>#REF!</v>
      </c>
      <c r="U181" s="80">
        <f>+C181-Q181</f>
        <v>418809644.5099995</v>
      </c>
      <c r="V181" s="77">
        <f t="shared" si="68"/>
        <v>0.2362086268995474</v>
      </c>
      <c r="W181" s="91"/>
      <c r="AB181" s="98"/>
    </row>
    <row r="182" spans="3:22" s="17" customFormat="1" ht="15">
      <c r="C182" s="60">
        <v>1773049740</v>
      </c>
      <c r="D182" s="60"/>
      <c r="E182" s="18">
        <f>+(E181/(C181+D181))*100%</f>
        <v>0.07443924191441281</v>
      </c>
      <c r="F182" s="18">
        <f>+(F181/(D181+C181))*100%</f>
        <v>0.07238423429265706</v>
      </c>
      <c r="G182" s="18">
        <f>+(G181/(C181+D181))*100%</f>
        <v>0.13060441253615251</v>
      </c>
      <c r="H182" s="18">
        <f>+(H181/(C181+D181))*100%</f>
        <v>0.06977233419973385</v>
      </c>
      <c r="I182" s="18">
        <f>+(I181/(C181+D181))*100%</f>
        <v>0.07069662428905987</v>
      </c>
      <c r="J182" s="18">
        <f>+(J181/(C181+D181))*100%</f>
        <v>0.07235251796364345</v>
      </c>
      <c r="K182" s="18">
        <f>+(K181/(C181+D181))*100%</f>
        <v>0.07882537413352783</v>
      </c>
      <c r="L182" s="18">
        <f>+(L181/(C181+D181))*100%</f>
        <v>0.07565969531602366</v>
      </c>
      <c r="M182" s="18">
        <f>+(M181/(C181+D181))*100%</f>
        <v>0.08240982721336243</v>
      </c>
      <c r="N182" s="18">
        <f>+(N181/(C181+D181))*100%</f>
        <v>0</v>
      </c>
      <c r="O182" s="18">
        <f>+(O181/(C181+D181))*100%</f>
        <v>0</v>
      </c>
      <c r="P182" s="18">
        <f>+(P181/(C181+D181))*100%</f>
        <v>0</v>
      </c>
      <c r="Q182" s="18"/>
      <c r="R182" s="18"/>
      <c r="S182" s="18"/>
      <c r="T182" s="18"/>
      <c r="U182" s="18"/>
      <c r="V182" s="19"/>
    </row>
    <row r="183" spans="2:22" s="17" customFormat="1" ht="15">
      <c r="B183" s="117"/>
      <c r="C183" s="60"/>
      <c r="D183" s="60"/>
      <c r="E183" s="19"/>
      <c r="F183" s="19"/>
      <c r="G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3:22" s="17" customFormat="1" ht="15">
      <c r="C186" s="60"/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81"/>
      <c r="U186" s="19"/>
      <c r="V186" s="19"/>
    </row>
    <row r="187" spans="3:22" s="17" customFormat="1" ht="15"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19"/>
      <c r="V187" s="19"/>
    </row>
    <row r="188" spans="1:28" ht="15">
      <c r="A188" s="17"/>
      <c r="B188" s="17"/>
      <c r="D188" s="7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18"/>
      <c r="U188" s="21"/>
      <c r="V188" s="21"/>
      <c r="AB188" s="4"/>
    </row>
    <row r="189" spans="1:28" ht="15">
      <c r="A189" s="17"/>
      <c r="B189" s="17"/>
      <c r="D189" s="79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18"/>
      <c r="U189" s="21"/>
      <c r="V189" s="21"/>
      <c r="AB189" s="4"/>
    </row>
    <row r="190" spans="1:28" ht="15.7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AB190" s="4"/>
    </row>
    <row r="191" spans="3:5" s="17" customFormat="1" ht="15">
      <c r="C191" s="60"/>
      <c r="D191" s="60"/>
      <c r="E191" s="19"/>
    </row>
    <row r="192" spans="3:8" s="17" customFormat="1" ht="15">
      <c r="C192" s="60"/>
      <c r="D192" s="60"/>
      <c r="E192" s="19"/>
      <c r="H192" s="19"/>
    </row>
    <row r="193" spans="3:8" s="17" customFormat="1" ht="15">
      <c r="C193" s="60"/>
      <c r="D193" s="60"/>
      <c r="H193" s="19"/>
    </row>
    <row r="194" spans="3:8" s="17" customFormat="1" ht="15">
      <c r="C194" s="60"/>
      <c r="D194" s="60"/>
      <c r="H194" s="60"/>
    </row>
    <row r="195" spans="3:8" s="17" customFormat="1" ht="15">
      <c r="C195" s="60"/>
      <c r="D195" s="60"/>
      <c r="H195" s="60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  <row r="197" spans="3:28" ht="15">
      <c r="C197" s="60"/>
      <c r="D197" s="7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U197" s="4"/>
      <c r="V197" s="4"/>
      <c r="AB197" s="4"/>
    </row>
    <row r="198" spans="3:28" ht="15">
      <c r="C198" s="60"/>
      <c r="D198" s="7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U198" s="4"/>
      <c r="V198" s="4"/>
      <c r="AB198" s="4"/>
    </row>
  </sheetData>
  <sheetProtection/>
  <mergeCells count="11">
    <mergeCell ref="E13:P13"/>
    <mergeCell ref="A181:B181"/>
    <mergeCell ref="A190:V190"/>
    <mergeCell ref="B13:B14"/>
    <mergeCell ref="B3:B4"/>
    <mergeCell ref="A5:V5"/>
    <mergeCell ref="A6:V6"/>
    <mergeCell ref="A7:V7"/>
    <mergeCell ref="A8:V8"/>
    <mergeCell ref="A13:A14"/>
    <mergeCell ref="A9:V9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7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2023'!E181</f>
        <v>138636322.07000002</v>
      </c>
      <c r="C2" s="144">
        <f>+'EJECUCIÓN 2023'!E182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2023'!F181</f>
        <v>134809057.16</v>
      </c>
      <c r="C3" s="108">
        <f>+'EJECUCIÓN 2023'!F182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2023'!G181</f>
        <v>243238847.34</v>
      </c>
      <c r="C4" s="108">
        <f>+'EJECUCIÓN 2023'!G182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2023'!H181</f>
        <v>129944630.64</v>
      </c>
      <c r="C5" s="108">
        <f>+'EJECUCIÓN 2023'!H182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2023'!I181</f>
        <v>131666036.92000002</v>
      </c>
      <c r="C6" s="108">
        <f>+'EJECUCIÓN 2023'!I182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2023'!J181</f>
        <v>134749988.38</v>
      </c>
      <c r="C7" s="108">
        <f>'EJECUCIÓN 2023'!J182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2023'!K181</f>
        <v>146805094.66</v>
      </c>
      <c r="C8" s="108">
        <f>+'EJECUCIÓN 2023'!K182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340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341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342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343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348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2023'!R181</f>
        <v>0.7637913731004525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2023'!U181</f>
        <v>418809644.5099995</v>
      </c>
      <c r="C15" s="108">
        <f>+'EJECUCIÓN 2023'!V181</f>
        <v>0.2362086268995474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344</v>
      </c>
      <c r="B16" s="114">
        <f>+'EJECUCIÓN 2023'!D181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9" t="s">
        <v>349</v>
      </c>
      <c r="B19" s="179"/>
      <c r="C19" s="179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9" t="s">
        <v>345</v>
      </c>
      <c r="B20" s="179"/>
      <c r="C20" s="179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80" t="s">
        <v>346</v>
      </c>
      <c r="B21" s="180"/>
      <c r="C21" s="180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9" t="s">
        <v>350</v>
      </c>
      <c r="B22" s="179"/>
      <c r="C22" s="179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81" t="s">
        <v>347</v>
      </c>
      <c r="B23" s="181"/>
      <c r="C23" s="181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8" t="s">
        <v>352</v>
      </c>
      <c r="B24" s="178"/>
      <c r="C24" s="178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3" t="s">
        <v>4</v>
      </c>
      <c r="B1" s="168" t="s">
        <v>5</v>
      </c>
    </row>
    <row r="2" spans="1:2" ht="15">
      <c r="A2" s="182"/>
      <c r="B2" s="183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4" t="s">
        <v>275</v>
      </c>
      <c r="B29" s="184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3" t="s">
        <v>4</v>
      </c>
      <c r="B3" s="168" t="s">
        <v>5</v>
      </c>
      <c r="C3" s="61" t="s">
        <v>221</v>
      </c>
      <c r="D3" s="126" t="s">
        <v>142</v>
      </c>
      <c r="E3" s="175" t="s">
        <v>286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4"/>
      <c r="B4" s="169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336</v>
      </c>
      <c r="B17" s="58" t="s">
        <v>337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65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05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90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338</v>
      </c>
      <c r="B114" s="30" t="s">
        <v>339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05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90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75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90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90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45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35">
      <c r="A151" s="35" t="s">
        <v>333</v>
      </c>
      <c r="B151" s="85" t="s">
        <v>334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332</v>
      </c>
      <c r="B152" s="102" t="s">
        <v>335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6" t="s">
        <v>275</v>
      </c>
      <c r="B166" s="166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2023-10-09T14:46:15Z</cp:lastPrinted>
  <dcterms:created xsi:type="dcterms:W3CDTF">2019-01-09T20:58:22Z</dcterms:created>
  <dcterms:modified xsi:type="dcterms:W3CDTF">2023-10-09T19:29:34Z</dcterms:modified>
  <cp:category/>
  <cp:version/>
  <cp:contentType/>
  <cp:contentStatus/>
</cp:coreProperties>
</file>