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15" windowHeight="7650" activeTab="0"/>
  </bookViews>
  <sheets>
    <sheet name="EJECUCION 2021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<sst xmlns="http://schemas.openxmlformats.org/spreadsheetml/2006/main" count="453" uniqueCount="301">
  <si>
    <t>REPÚBLICA DOMINICANA</t>
  </si>
  <si>
    <t>DIRECCIÓN NACIONAL DE CONTROL DE DROGAS</t>
  </si>
  <si>
    <t>-D.N.C.D.-</t>
  </si>
  <si>
    <t>Dirección Financiera</t>
  </si>
  <si>
    <t>Cuenta No.</t>
  </si>
  <si>
    <t>Descripción de Cuenta</t>
  </si>
  <si>
    <t>EJECUCION</t>
  </si>
  <si>
    <t>TOTAL</t>
  </si>
  <si>
    <t xml:space="preserve">% </t>
  </si>
  <si>
    <t>%</t>
  </si>
  <si>
    <t xml:space="preserve"> Gasto Anual</t>
  </si>
  <si>
    <t>ENERO</t>
  </si>
  <si>
    <t>FEBRERO</t>
  </si>
  <si>
    <t>MARZO</t>
  </si>
  <si>
    <t>MAYO</t>
  </si>
  <si>
    <t>JUNIO</t>
  </si>
  <si>
    <t>JULIO</t>
  </si>
  <si>
    <t>EJECUTADO</t>
  </si>
  <si>
    <t>POR EJECUTAR</t>
  </si>
  <si>
    <t>2.1.1</t>
  </si>
  <si>
    <t>Remuneraciones al Personal Fijo</t>
  </si>
  <si>
    <t>Sueldos fijos</t>
  </si>
  <si>
    <t>Sueldo Anual No.13 (Regalia)</t>
  </si>
  <si>
    <t>Compensación por gastos de alimentación</t>
  </si>
  <si>
    <t>Contribuciones al seguro de salud</t>
  </si>
  <si>
    <t>2.2.1</t>
  </si>
  <si>
    <t>Servicios Basicos</t>
  </si>
  <si>
    <t>.22.1.1.01</t>
  </si>
  <si>
    <t>Radiocomunicacion</t>
  </si>
  <si>
    <t>Teléfono local</t>
  </si>
  <si>
    <t>Servicio de internet y televisión por cable</t>
  </si>
  <si>
    <t>Agua</t>
  </si>
  <si>
    <t>Recolección de residuos sólidos</t>
  </si>
  <si>
    <t>2.2.2</t>
  </si>
  <si>
    <t>Publicidad Impresión y encuadernacion</t>
  </si>
  <si>
    <t>Publicidad y propaganda</t>
  </si>
  <si>
    <t>2.2.3</t>
  </si>
  <si>
    <t>Viaticos</t>
  </si>
  <si>
    <t>Viáticos dentro del país</t>
  </si>
  <si>
    <t>Viáticos fuera del país</t>
  </si>
  <si>
    <t>2.2.4</t>
  </si>
  <si>
    <t>Transporte y Almacenaje</t>
  </si>
  <si>
    <t>2.2.5</t>
  </si>
  <si>
    <t xml:space="preserve">Alquileres y Rentas  </t>
  </si>
  <si>
    <t>Alquileres y rentas de edificios y locales</t>
  </si>
  <si>
    <t>2.2.6</t>
  </si>
  <si>
    <t>Seguros</t>
  </si>
  <si>
    <t>Seguro de bienes muebles</t>
  </si>
  <si>
    <t>2.2.7</t>
  </si>
  <si>
    <t>2.2.8</t>
  </si>
  <si>
    <t>.22.8.1.01</t>
  </si>
  <si>
    <t>Gastos Judiciales</t>
  </si>
  <si>
    <t xml:space="preserve">.22.8.9.03 </t>
  </si>
  <si>
    <t>Otros gastos operativos de instituciones empresariales</t>
  </si>
  <si>
    <t>2.3.1</t>
  </si>
  <si>
    <t>Alimentos y Productos agroforestales</t>
  </si>
  <si>
    <t>Alimentos para animales</t>
  </si>
  <si>
    <t>Medera, Corcho y su manufactura</t>
  </si>
  <si>
    <t>2.3.2</t>
  </si>
  <si>
    <t>Textiles y Vesturios</t>
  </si>
  <si>
    <t>.23.2.1.01</t>
  </si>
  <si>
    <t>Hilados y Telas</t>
  </si>
  <si>
    <t>.23.2.2.01</t>
  </si>
  <si>
    <t>Acabados textiles</t>
  </si>
  <si>
    <t>.23.2.3.01</t>
  </si>
  <si>
    <t>Prendas de Vestir</t>
  </si>
  <si>
    <t>.23.2.4.01</t>
  </si>
  <si>
    <t>Calzados</t>
  </si>
  <si>
    <t>2.3.5</t>
  </si>
  <si>
    <t>Llantas y neumáticos</t>
  </si>
  <si>
    <t>Artículos de plástico</t>
  </si>
  <si>
    <t>2.3.6</t>
  </si>
  <si>
    <t>.23.6.4.07</t>
  </si>
  <si>
    <t>Otros Minerales</t>
  </si>
  <si>
    <t>2.3.7</t>
  </si>
  <si>
    <t>Combustibles, Lubricantes, productos quimicos y conexos</t>
  </si>
  <si>
    <t>Gasolina</t>
  </si>
  <si>
    <t>Gasoil</t>
  </si>
  <si>
    <t>Gas GLP</t>
  </si>
  <si>
    <t>.23.7.1.05</t>
  </si>
  <si>
    <t>Aceites y grasas</t>
  </si>
  <si>
    <t>Lubricantes</t>
  </si>
  <si>
    <t>2.3.9</t>
  </si>
  <si>
    <t>Productos y Utiles Varios</t>
  </si>
  <si>
    <t>Productos eléctricos y afines</t>
  </si>
  <si>
    <t>.23.9.7.01</t>
  </si>
  <si>
    <t>Productos y Utiles Veterinarios</t>
  </si>
  <si>
    <t>.23.9.9.01</t>
  </si>
  <si>
    <t>Productos y Utiles Varios N.I.P</t>
  </si>
  <si>
    <t>2.4.1</t>
  </si>
  <si>
    <t>.24.1.1.01</t>
  </si>
  <si>
    <t>Pensiones</t>
  </si>
  <si>
    <t>Ayudas y donaciones programadas a hogares y personas</t>
  </si>
  <si>
    <t>2.6.1</t>
  </si>
  <si>
    <t>Mobiliario y Equipos</t>
  </si>
  <si>
    <t xml:space="preserve">Total Sueldos y  Gastos Operacionales </t>
  </si>
  <si>
    <t>2.1.1.1.01</t>
  </si>
  <si>
    <t>2.1.1.4.01</t>
  </si>
  <si>
    <t>2.1.2.2.01</t>
  </si>
  <si>
    <t>2.1.5.1.01</t>
  </si>
  <si>
    <t>Contribuciones al seguro de Riesgo Laboral</t>
  </si>
  <si>
    <t>2.2.1.3.01</t>
  </si>
  <si>
    <t>2.2.1.5.01</t>
  </si>
  <si>
    <t>2.2.1.7.01</t>
  </si>
  <si>
    <t>2.2.1.8.01</t>
  </si>
  <si>
    <t>2.2.2.1.01</t>
  </si>
  <si>
    <t>2.2.3.1.01</t>
  </si>
  <si>
    <t>2.2.3.2.01</t>
  </si>
  <si>
    <t>2.2.4.1.01</t>
  </si>
  <si>
    <t>2.2.5.1.01</t>
  </si>
  <si>
    <t>2.2.5.8.01</t>
  </si>
  <si>
    <t>2.2.6.2.01</t>
  </si>
  <si>
    <t>2.2.7.2.06</t>
  </si>
  <si>
    <t>2.2.8.2.01</t>
  </si>
  <si>
    <t>2.2.8.7.06</t>
  </si>
  <si>
    <t>2.3.1.2.01</t>
  </si>
  <si>
    <t>2.3.1.4.01</t>
  </si>
  <si>
    <t>2.3.5.3.01</t>
  </si>
  <si>
    <t>2.3.5.5.01</t>
  </si>
  <si>
    <t>2.3.7.1.01</t>
  </si>
  <si>
    <t>2.3.7.1.02</t>
  </si>
  <si>
    <t>2.3.7.1.04</t>
  </si>
  <si>
    <t>2.3.7.1.06</t>
  </si>
  <si>
    <t>2.3.7.2.06</t>
  </si>
  <si>
    <t>2.3.9.1.01</t>
  </si>
  <si>
    <t>2.3.9.2.01</t>
  </si>
  <si>
    <t>2.3.9.4.01</t>
  </si>
  <si>
    <t>2.3.9.5.01</t>
  </si>
  <si>
    <t>2.3.9.6.01</t>
  </si>
  <si>
    <t>2.4.1.2.01</t>
  </si>
  <si>
    <t>2.4.1.4.01</t>
  </si>
  <si>
    <t>2.6.1.1.01</t>
  </si>
  <si>
    <t>2.1.3.2.01</t>
  </si>
  <si>
    <t>2.2.8.8.01</t>
  </si>
  <si>
    <t>Impuestos</t>
  </si>
  <si>
    <t>2.6.3.2.01</t>
  </si>
  <si>
    <t>Instrumental médico y de laboratorio</t>
  </si>
  <si>
    <t>2.2.9.2.01</t>
  </si>
  <si>
    <t>2.3.1.1.01</t>
  </si>
  <si>
    <t>EJECUTAR</t>
  </si>
  <si>
    <t>TOTAL POR</t>
  </si>
  <si>
    <t>2.6.1.4.01</t>
  </si>
  <si>
    <t>2.1.2.2.06</t>
  </si>
  <si>
    <t>2.6.1.3.01</t>
  </si>
  <si>
    <t>Equipos y Aparatos Audiovisuales</t>
  </si>
  <si>
    <t>2.6.2.1.01</t>
  </si>
  <si>
    <t>2.7.1.2.01</t>
  </si>
  <si>
    <t>Obras para edificación no residencial</t>
  </si>
  <si>
    <t>2.3.2.2.01</t>
  </si>
  <si>
    <t>2.3.2.3.01</t>
  </si>
  <si>
    <t>2.3.2.4.01</t>
  </si>
  <si>
    <t>2.3.7.2.99</t>
  </si>
  <si>
    <t>2.3.9.3.01</t>
  </si>
  <si>
    <t>2.3.9.8.01</t>
  </si>
  <si>
    <t>ABRIL</t>
  </si>
  <si>
    <t>2.3.7.1.05</t>
  </si>
  <si>
    <t>2.3.7.1.99</t>
  </si>
  <si>
    <t>Otros Combustibles</t>
  </si>
  <si>
    <t>Transferencias corrientes ocasionales a asociaciones sin fines de lucro</t>
  </si>
  <si>
    <t>2.4.1.6.05</t>
  </si>
  <si>
    <t>2.7.1</t>
  </si>
  <si>
    <t>2.4.1.2.05</t>
  </si>
  <si>
    <t>Subsidios para viviendas económicas</t>
  </si>
  <si>
    <t>Alimentos y bebidas para personas</t>
  </si>
  <si>
    <t>Otros productos químicos y conexos</t>
  </si>
  <si>
    <t>Transferencias Corrientes al Sector Privado</t>
  </si>
  <si>
    <t>Repuestos</t>
  </si>
  <si>
    <t>Asignación</t>
  </si>
  <si>
    <t>Extrapresup.</t>
  </si>
  <si>
    <t>2.4.1.2.02</t>
  </si>
  <si>
    <t>Ayudas y donaciones ocasionales a hogares y personas</t>
  </si>
  <si>
    <t>2.1.5.3.01</t>
  </si>
  <si>
    <t>Becas nacionales</t>
  </si>
  <si>
    <t>2.6.9.3.03</t>
  </si>
  <si>
    <t>Pasajes y gastos de transporte</t>
  </si>
  <si>
    <t>Servicios de alimentación</t>
  </si>
  <si>
    <t>Prendas y accesorios de vestir</t>
  </si>
  <si>
    <t>2.4.4.1.02</t>
  </si>
  <si>
    <t>Equipos de tecnología de la información y comunicación</t>
  </si>
  <si>
    <t>2.8.5</t>
  </si>
  <si>
    <t>Aportes de capital al sector público</t>
  </si>
  <si>
    <t>Obras en edificaciones</t>
  </si>
  <si>
    <t>Aportes de capital al sector público no financiero</t>
  </si>
  <si>
    <t>2.8.5.2.01</t>
  </si>
  <si>
    <t>2.3.9.9.01</t>
  </si>
  <si>
    <t>Productos y Útiles Varios n.i.p</t>
  </si>
  <si>
    <t>SEPT.</t>
  </si>
  <si>
    <t>OCT.</t>
  </si>
  <si>
    <t>NOV.</t>
  </si>
  <si>
    <t>DIC.</t>
  </si>
  <si>
    <t>2.1.1.2.04</t>
  </si>
  <si>
    <t>Servicios especiales</t>
  </si>
  <si>
    <t>Incentivo por Rendimiento Individual</t>
  </si>
  <si>
    <t>2.1.2.2.13</t>
  </si>
  <si>
    <t>Muebles, equipos de oficina y estantería</t>
  </si>
  <si>
    <t>AGOST</t>
  </si>
  <si>
    <t>2.3.6.3.06</t>
  </si>
  <si>
    <t>2.4.1.6.06</t>
  </si>
  <si>
    <t>Transferencias corrientes a federaciones deportivas</t>
  </si>
  <si>
    <t>2.6.8.8.02</t>
  </si>
  <si>
    <t>Licencias Intelectuales</t>
  </si>
  <si>
    <t>Gastos de representación en el país</t>
  </si>
  <si>
    <t>Útiles menores médico quirúrgicos y de laboratorio</t>
  </si>
  <si>
    <t>2.3.9.9.04</t>
  </si>
  <si>
    <t>Productos metálicos</t>
  </si>
  <si>
    <t>Pinturas, lacas, barnices, diluyentes y absorbentes para pinturas</t>
  </si>
  <si>
    <t>Útiles y materiales de escritorio, oficina e informática</t>
  </si>
  <si>
    <t>Materiales de limpieza e higiene</t>
  </si>
  <si>
    <t>2.4.1.6.01</t>
  </si>
  <si>
    <t>Transferencias corrientes programadas a asociaciones sin fines de lucro</t>
  </si>
  <si>
    <t>2.2.5.9.01</t>
  </si>
  <si>
    <t>2.1.1.1.12</t>
  </si>
  <si>
    <t>Enc. Departamento de Contabilidad, DNCD.</t>
  </si>
  <si>
    <t>ASIGNACIONES EXTRAPRESUPUESTARIA CORRESPONDIENTES AL AÑO 2021</t>
  </si>
  <si>
    <t>CUANTA</t>
  </si>
  <si>
    <t xml:space="preserve">DESCRIPCION DEL GASTO </t>
  </si>
  <si>
    <t>MONTO EN RD$</t>
  </si>
  <si>
    <t>COMPRA DE CHALECOS BALISTICOS</t>
  </si>
  <si>
    <t>MANT. Y REPARAC. DE AERONAVE</t>
  </si>
  <si>
    <t>GASOLINA</t>
  </si>
  <si>
    <t>MES DE MARZO</t>
  </si>
  <si>
    <t>CONTRIBUCIONES AL SEGURO DE SALUD</t>
  </si>
  <si>
    <t>CONTRIBUCIONES AL SEGURO DE RIESGO LABORAL</t>
  </si>
  <si>
    <t>2.6.2.3.01</t>
  </si>
  <si>
    <t>CAMARAS FOTOGRAFICAS Y DE VIDEO</t>
  </si>
  <si>
    <t>COMPENSACION POR GASTOS DE ALIMENTACION</t>
  </si>
  <si>
    <t>MES DE ENERO DE 2021</t>
  </si>
  <si>
    <t>MES DE FEBRERO DE 2021</t>
  </si>
  <si>
    <t>MES DE MARZO DE 2021</t>
  </si>
  <si>
    <t>MES DE ABRIL DE 2021</t>
  </si>
  <si>
    <t>SUELDOS FIJOS</t>
  </si>
  <si>
    <t>SUELDOS FIJOS POR CARGO AL PERSONAL MILITAR Y POLICIAL</t>
  </si>
  <si>
    <t>INCENTIVO POR RIESGO LABORAL AL PERSONAL MILITAR Y POLICIAL</t>
  </si>
  <si>
    <t>SOLICITADO EN MARZO</t>
  </si>
  <si>
    <t>LICENCIAS INFORMATICAS US$1,877,378.78  A RD$57.60</t>
  </si>
  <si>
    <t>MES DE AGOSTO DE 2021</t>
  </si>
  <si>
    <t>PRENDAS Y ACCESORIOS DE VESTIR</t>
  </si>
  <si>
    <t>CALZADOS</t>
  </si>
  <si>
    <t>MES DE SEPTIEMBRE DE 2021</t>
  </si>
  <si>
    <t>PRODUCTOS METALICOS (PLACAS METALICAS)</t>
  </si>
  <si>
    <t>2.6.4.1.01</t>
  </si>
  <si>
    <t>AUTOMOVILES Y CAMIONES</t>
  </si>
  <si>
    <t>PRODUCTOS METALICOS (DEFENSAS PARA CAMIONETAS</t>
  </si>
  <si>
    <t>GASOIL</t>
  </si>
  <si>
    <t>MES DE OCTUBRE DE 2021</t>
  </si>
  <si>
    <t>TOTAL GENEREAL ASIGNACIONES EXTRAP.,…….</t>
  </si>
  <si>
    <t>TOTAL ASIGNACIONES EXTRAP………..</t>
  </si>
  <si>
    <t>TOTAL GENERAL EN RD$,…………………….</t>
  </si>
  <si>
    <t>TOTAL GENERAL DE ASIGNACIONES PRESUPUESTARIAS POR CUENTAS</t>
  </si>
  <si>
    <t>PRODUCTOS METALICOS (DEFENSAS PARA CAMIONETAS)</t>
  </si>
  <si>
    <t>PRENDAS DE VESTIR</t>
  </si>
  <si>
    <t>LICENCIAS INFORMATICAS</t>
  </si>
  <si>
    <t>SUELDOS FIJO POR CARGO AL PERSONAL MILITAR Y POLICIAL</t>
  </si>
  <si>
    <t>MANTENIMIENTO Y REPARAC. DE EQUIPOS DE TRANSPORTE, TRACC. Y ELEV.</t>
  </si>
  <si>
    <t>PRODUCTOS Y UTILES DE DEFENSA  Y SEGURIDAD</t>
  </si>
  <si>
    <t>Nov.</t>
  </si>
  <si>
    <t>Enero</t>
  </si>
  <si>
    <t>Marzo</t>
  </si>
  <si>
    <t>Febrero</t>
  </si>
  <si>
    <t>Abril</t>
  </si>
  <si>
    <t>Mayo</t>
  </si>
  <si>
    <t>Junio</t>
  </si>
  <si>
    <t>Julio</t>
  </si>
  <si>
    <t>Agosto</t>
  </si>
  <si>
    <t>Sept.</t>
  </si>
  <si>
    <t>Oct.</t>
  </si>
  <si>
    <t>Gastos corrientes</t>
  </si>
  <si>
    <t>Sueldos</t>
  </si>
  <si>
    <t>Cont.seg. Salud</t>
  </si>
  <si>
    <t>Cont.riesgo lab.</t>
  </si>
  <si>
    <t>ASIG. EXTRAP.</t>
  </si>
  <si>
    <t>ASIG. PRESUP.</t>
  </si>
  <si>
    <t>TERRENOS URBANOS CON EDIFICACIONES</t>
  </si>
  <si>
    <t>% POR</t>
  </si>
  <si>
    <t>Electricidad no cortable</t>
  </si>
  <si>
    <t>EJECUCION PRESUPUESTARIA CORRESPONDIENTE AL AÑO 2022</t>
  </si>
  <si>
    <t>2.2.1.6.02</t>
  </si>
  <si>
    <t>Otros alquileres</t>
  </si>
  <si>
    <t>2.2.9</t>
  </si>
  <si>
    <t>Útiles destinados a actividades deportivas, culturales y recreativas</t>
  </si>
  <si>
    <t>Útiles de cocina y comedor</t>
  </si>
  <si>
    <t>Otras transferencias corrientes a empresas públicas no financieras nacionales</t>
  </si>
  <si>
    <t>2.6.1.2.01</t>
  </si>
  <si>
    <t>Muebles de alojamiento</t>
  </si>
  <si>
    <t>Electrodomésticos</t>
  </si>
  <si>
    <t>2.6.2</t>
  </si>
  <si>
    <t>MOBILIARIO Y EQUIPO AUDIOVISUAL, RECREATIVO YEDUCACIONAL</t>
  </si>
  <si>
    <t>2.6.3</t>
  </si>
  <si>
    <t>EQUIPO E INSTRUMENTAL, CIENTÍFICO Y LABORATORIO</t>
  </si>
  <si>
    <t>Incentivo por riesgo laboral al personal militar y policial</t>
  </si>
  <si>
    <t>Mantenimiento y reparación de equipos de transporte, tracción y elevación</t>
  </si>
  <si>
    <t>SERVICIOS DE CONSERVACIÓN, REPARACIONES MENORES E INSTALACIONES T EMPORALES</t>
  </si>
  <si>
    <t>SERVICIOS NO INCLUIDOS EN CONCEPTOS ANTERIORES</t>
  </si>
  <si>
    <t>Comisiones y gastos</t>
  </si>
  <si>
    <t>Otros servicios técnicos profesionales</t>
  </si>
  <si>
    <t>OTRAS CONTRATACIONES DE SERVICIOS</t>
  </si>
  <si>
    <t>TEXTILES Y VESTUARIOS</t>
  </si>
  <si>
    <t>PRODUCTOS DE CUERO, CAUCHO Y PLÁSTICO</t>
  </si>
  <si>
    <t>PRODUCTOS DE MINERALES, METÁLICOS Y NO METÁLICOS</t>
  </si>
  <si>
    <t>2.6.8</t>
  </si>
  <si>
    <t>BIENES INTANGIBLES</t>
  </si>
</sst>
</file>

<file path=xl/styles.xml><?xml version="1.0" encoding="utf-8"?>
<styleSheet xmlns="http://schemas.openxmlformats.org/spreadsheetml/2006/main">
  <numFmts count="34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* #,##0.00\ _€_-;\-* #,##0.00\ _€_-;_-* &quot;-&quot;??\ _€_-;_-@_-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[$-1C0A]dddd\,\ dd&quot; de &quot;mmmm&quot; de &quot;yyyy"/>
    <numFmt numFmtId="179" formatCode="[$-1C0A]hh:mm:ss\ AM/PM"/>
    <numFmt numFmtId="180" formatCode="#,##0.000000000_);[Red]\(#,##0.000000000\)"/>
    <numFmt numFmtId="181" formatCode="#,##0.0000000000_);[Red]\(#,##0.0000000000\)"/>
    <numFmt numFmtId="182" formatCode="#,##0.00000000000_);[Red]\(#,##0.00000000000\)"/>
    <numFmt numFmtId="183" formatCode="#,##0.00000000_);[Red]\(#,##0.00000000\)"/>
    <numFmt numFmtId="184" formatCode="#,##0.0000000_);[Red]\(#,##0.0000000\)"/>
    <numFmt numFmtId="185" formatCode="#,##0.000000_);[Red]\(#,##0.000000\)"/>
    <numFmt numFmtId="186" formatCode="#,##0.00000_);[Red]\(#,##0.00000\)"/>
    <numFmt numFmtId="187" formatCode="#,##0.0000_);[Red]\(#,##0.0000\)"/>
    <numFmt numFmtId="188" formatCode="#,##0.000_);[Red]\(#,##0.000\)"/>
    <numFmt numFmtId="189" formatCode="#,##0.0_);[Red]\(#,##0.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u val="singleAccounting"/>
      <sz val="11"/>
      <color indexed="8"/>
      <name val="Calibri"/>
      <family val="2"/>
    </font>
    <font>
      <b/>
      <u val="doubleAccounting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u val="singleAccounting"/>
      <sz val="11"/>
      <color theme="1"/>
      <name val="Calibri"/>
      <family val="2"/>
    </font>
    <font>
      <b/>
      <u val="doubleAccounting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78">
    <xf numFmtId="0" fontId="0" fillId="0" borderId="0" xfId="0" applyFont="1" applyAlignment="1">
      <alignment/>
    </xf>
    <xf numFmtId="0" fontId="0" fillId="0" borderId="0" xfId="58" applyFill="1" applyBorder="1">
      <alignment/>
      <protection/>
    </xf>
    <xf numFmtId="0" fontId="0" fillId="0" borderId="0" xfId="58" applyBorder="1">
      <alignment/>
      <protection/>
    </xf>
    <xf numFmtId="0" fontId="0" fillId="0" borderId="0" xfId="58">
      <alignment/>
      <protection/>
    </xf>
    <xf numFmtId="0" fontId="0" fillId="0" borderId="0" xfId="58" applyFont="1">
      <alignment/>
      <protection/>
    </xf>
    <xf numFmtId="0" fontId="22" fillId="33" borderId="10" xfId="58" applyFont="1" applyFill="1" applyBorder="1" applyAlignment="1">
      <alignment horizontal="left"/>
      <protection/>
    </xf>
    <xf numFmtId="0" fontId="47" fillId="34" borderId="11" xfId="58" applyFont="1" applyFill="1" applyBorder="1">
      <alignment/>
      <protection/>
    </xf>
    <xf numFmtId="0" fontId="0" fillId="0" borderId="12" xfId="58" applyBorder="1">
      <alignment/>
      <protection/>
    </xf>
    <xf numFmtId="0" fontId="48" fillId="33" borderId="11" xfId="58" applyFont="1" applyFill="1" applyBorder="1">
      <alignment/>
      <protection/>
    </xf>
    <xf numFmtId="0" fontId="47" fillId="0" borderId="11" xfId="58" applyFont="1" applyFill="1" applyBorder="1">
      <alignment/>
      <protection/>
    </xf>
    <xf numFmtId="0" fontId="0" fillId="0" borderId="0" xfId="58" applyFill="1">
      <alignment/>
      <protection/>
    </xf>
    <xf numFmtId="0" fontId="0" fillId="0" borderId="12" xfId="58" applyFill="1" applyBorder="1">
      <alignment/>
      <protection/>
    </xf>
    <xf numFmtId="0" fontId="0" fillId="9" borderId="0" xfId="58" applyFill="1">
      <alignment/>
      <protection/>
    </xf>
    <xf numFmtId="0" fontId="0" fillId="0" borderId="0" xfId="58" applyFont="1" applyFill="1" applyBorder="1">
      <alignment/>
      <protection/>
    </xf>
    <xf numFmtId="0" fontId="47" fillId="34" borderId="11" xfId="58" applyFont="1" applyFill="1" applyBorder="1" applyAlignment="1">
      <alignment wrapText="1"/>
      <protection/>
    </xf>
    <xf numFmtId="0" fontId="0" fillId="0" borderId="0" xfId="58" applyFont="1" applyFill="1">
      <alignment/>
      <protection/>
    </xf>
    <xf numFmtId="0" fontId="49" fillId="0" borderId="0" xfId="58" applyFont="1">
      <alignment/>
      <protection/>
    </xf>
    <xf numFmtId="40" fontId="46" fillId="0" borderId="0" xfId="58" applyNumberFormat="1" applyFont="1" applyFill="1" applyBorder="1">
      <alignment/>
      <protection/>
    </xf>
    <xf numFmtId="0" fontId="0" fillId="0" borderId="0" xfId="58" applyFont="1" applyBorder="1">
      <alignment/>
      <protection/>
    </xf>
    <xf numFmtId="10" fontId="0" fillId="0" borderId="0" xfId="58" applyNumberFormat="1" applyFont="1">
      <alignment/>
      <protection/>
    </xf>
    <xf numFmtId="0" fontId="3" fillId="0" borderId="0" xfId="55" applyFont="1" applyAlignment="1">
      <alignment horizontal="left"/>
      <protection/>
    </xf>
    <xf numFmtId="0" fontId="4" fillId="0" borderId="0" xfId="55" applyFont="1">
      <alignment/>
      <protection/>
    </xf>
    <xf numFmtId="40" fontId="0" fillId="0" borderId="0" xfId="58" applyNumberFormat="1" applyFont="1" applyBorder="1">
      <alignment/>
      <protection/>
    </xf>
    <xf numFmtId="0" fontId="46" fillId="33" borderId="11" xfId="58" applyFont="1" applyFill="1" applyBorder="1">
      <alignment/>
      <protection/>
    </xf>
    <xf numFmtId="0" fontId="0" fillId="0" borderId="11" xfId="58" applyFont="1" applyFill="1" applyBorder="1">
      <alignment/>
      <protection/>
    </xf>
    <xf numFmtId="40" fontId="0" fillId="0" borderId="0" xfId="58" applyNumberFormat="1" applyFont="1">
      <alignment/>
      <protection/>
    </xf>
    <xf numFmtId="0" fontId="0" fillId="34" borderId="11" xfId="58" applyFont="1" applyFill="1" applyBorder="1">
      <alignment/>
      <protection/>
    </xf>
    <xf numFmtId="0" fontId="47" fillId="34" borderId="11" xfId="57" applyFont="1" applyFill="1" applyBorder="1">
      <alignment/>
      <protection/>
    </xf>
    <xf numFmtId="0" fontId="47" fillId="0" borderId="11" xfId="57" applyFont="1" applyFill="1" applyBorder="1">
      <alignment/>
      <protection/>
    </xf>
    <xf numFmtId="0" fontId="0" fillId="0" borderId="11" xfId="57" applyFont="1" applyFill="1" applyBorder="1" applyAlignment="1">
      <alignment wrapText="1"/>
      <protection/>
    </xf>
    <xf numFmtId="0" fontId="0" fillId="0" borderId="11" xfId="58" applyFont="1" applyBorder="1" applyAlignment="1">
      <alignment horizontal="left"/>
      <protection/>
    </xf>
    <xf numFmtId="0" fontId="22" fillId="33" borderId="10" xfId="58" applyFont="1" applyFill="1" applyBorder="1" applyAlignment="1">
      <alignment horizontal="left" wrapText="1"/>
      <protection/>
    </xf>
    <xf numFmtId="0" fontId="46" fillId="0" borderId="0" xfId="58" applyFont="1" applyFill="1" applyBorder="1">
      <alignment/>
      <protection/>
    </xf>
    <xf numFmtId="0" fontId="0" fillId="0" borderId="11" xfId="57" applyFont="1" applyFill="1" applyBorder="1">
      <alignment/>
      <protection/>
    </xf>
    <xf numFmtId="40" fontId="0" fillId="0" borderId="0" xfId="58" applyNumberFormat="1">
      <alignment/>
      <protection/>
    </xf>
    <xf numFmtId="0" fontId="0" fillId="0" borderId="11" xfId="58" applyFont="1" applyBorder="1" applyAlignment="1">
      <alignment wrapText="1"/>
      <protection/>
    </xf>
    <xf numFmtId="0" fontId="47" fillId="0" borderId="11" xfId="57" applyFont="1" applyFill="1" applyBorder="1" applyAlignment="1">
      <alignment horizontal="left" vertical="center" wrapText="1"/>
      <protection/>
    </xf>
    <xf numFmtId="0" fontId="47" fillId="0" borderId="11" xfId="57" applyFont="1" applyFill="1" applyBorder="1" applyAlignment="1">
      <alignment wrapText="1"/>
      <protection/>
    </xf>
    <xf numFmtId="0" fontId="47" fillId="0" borderId="11" xfId="57" applyFont="1" applyFill="1" applyBorder="1" applyAlignment="1">
      <alignment horizontal="left" wrapText="1"/>
      <protection/>
    </xf>
    <xf numFmtId="0" fontId="48" fillId="33" borderId="11" xfId="58" applyFont="1" applyFill="1" applyBorder="1" applyAlignment="1">
      <alignment wrapText="1"/>
      <protection/>
    </xf>
    <xf numFmtId="0" fontId="24" fillId="0" borderId="11" xfId="57" applyFont="1" applyFill="1" applyBorder="1">
      <alignment/>
      <protection/>
    </xf>
    <xf numFmtId="0" fontId="47" fillId="34" borderId="11" xfId="58" applyFont="1" applyFill="1" applyBorder="1" applyAlignment="1">
      <alignment horizontal="left" vertical="center" wrapText="1"/>
      <protection/>
    </xf>
    <xf numFmtId="43" fontId="24" fillId="0" borderId="11" xfId="46" applyFont="1" applyBorder="1" applyAlignment="1">
      <alignment vertical="center"/>
    </xf>
    <xf numFmtId="0" fontId="0" fillId="0" borderId="11" xfId="57" applyFont="1" applyFill="1" applyBorder="1" applyAlignment="1">
      <alignment vertical="center"/>
      <protection/>
    </xf>
    <xf numFmtId="0" fontId="46" fillId="33" borderId="11" xfId="58" applyFont="1" applyFill="1" applyBorder="1" applyAlignment="1">
      <alignment vertical="center"/>
      <protection/>
    </xf>
    <xf numFmtId="0" fontId="48" fillId="33" borderId="11" xfId="58" applyFont="1" applyFill="1" applyBorder="1" applyAlignment="1">
      <alignment horizontal="left" vertical="center" wrapText="1"/>
      <protection/>
    </xf>
    <xf numFmtId="0" fontId="47" fillId="0" borderId="11" xfId="57" applyFont="1" applyFill="1" applyBorder="1" applyAlignment="1">
      <alignment vertical="center" wrapText="1"/>
      <protection/>
    </xf>
    <xf numFmtId="43" fontId="24" fillId="34" borderId="11" xfId="46" applyFont="1" applyFill="1" applyBorder="1" applyAlignment="1">
      <alignment vertical="center"/>
    </xf>
    <xf numFmtId="43" fontId="24" fillId="0" borderId="11" xfId="46" applyFont="1" applyFill="1" applyBorder="1" applyAlignment="1">
      <alignment vertical="center"/>
    </xf>
    <xf numFmtId="43" fontId="24" fillId="4" borderId="11" xfId="46" applyFont="1" applyFill="1" applyBorder="1" applyAlignment="1">
      <alignment vertical="center"/>
    </xf>
    <xf numFmtId="43" fontId="0" fillId="0" borderId="11" xfId="46" applyFont="1" applyFill="1" applyBorder="1" applyAlignment="1">
      <alignment vertical="center"/>
    </xf>
    <xf numFmtId="43" fontId="0" fillId="34" borderId="11" xfId="46" applyFont="1" applyFill="1" applyBorder="1" applyAlignment="1">
      <alignment vertical="center"/>
    </xf>
    <xf numFmtId="0" fontId="0" fillId="34" borderId="11" xfId="58" applyFont="1" applyFill="1" applyBorder="1">
      <alignment/>
      <protection/>
    </xf>
    <xf numFmtId="40" fontId="24" fillId="4" borderId="11" xfId="58" applyNumberFormat="1" applyFont="1" applyFill="1" applyBorder="1" applyAlignment="1">
      <alignment vertical="center"/>
      <protection/>
    </xf>
    <xf numFmtId="10" fontId="24" fillId="4" borderId="11" xfId="58" applyNumberFormat="1" applyFont="1" applyFill="1" applyBorder="1" applyAlignment="1">
      <alignment vertical="center"/>
      <protection/>
    </xf>
    <xf numFmtId="40" fontId="24" fillId="2" borderId="11" xfId="58" applyNumberFormat="1" applyFont="1" applyFill="1" applyBorder="1" applyAlignment="1">
      <alignment vertical="center"/>
      <protection/>
    </xf>
    <xf numFmtId="10" fontId="24" fillId="2" borderId="11" xfId="58" applyNumberFormat="1" applyFont="1" applyFill="1" applyBorder="1" applyAlignment="1">
      <alignment vertical="center"/>
      <protection/>
    </xf>
    <xf numFmtId="43" fontId="22" fillId="0" borderId="11" xfId="46" applyFont="1" applyFill="1" applyBorder="1" applyAlignment="1">
      <alignment vertical="center"/>
    </xf>
    <xf numFmtId="43" fontId="41" fillId="0" borderId="11" xfId="46" applyFont="1" applyFill="1" applyBorder="1" applyAlignment="1">
      <alignment vertical="center"/>
    </xf>
    <xf numFmtId="40" fontId="24" fillId="0" borderId="11" xfId="58" applyNumberFormat="1" applyFont="1" applyFill="1" applyBorder="1" applyAlignment="1">
      <alignment vertical="center"/>
      <protection/>
    </xf>
    <xf numFmtId="40" fontId="41" fillId="0" borderId="11" xfId="58" applyNumberFormat="1" applyFont="1" applyFill="1" applyBorder="1" applyAlignment="1">
      <alignment vertical="center"/>
      <protection/>
    </xf>
    <xf numFmtId="40" fontId="24" fillId="10" borderId="11" xfId="58" applyNumberFormat="1" applyFont="1" applyFill="1" applyBorder="1" applyAlignment="1">
      <alignment vertical="center"/>
      <protection/>
    </xf>
    <xf numFmtId="43" fontId="24" fillId="7" borderId="11" xfId="46" applyFont="1" applyFill="1" applyBorder="1" applyAlignment="1">
      <alignment vertical="center"/>
    </xf>
    <xf numFmtId="43" fontId="24" fillId="0" borderId="11" xfId="46" applyFont="1" applyFill="1" applyBorder="1" applyAlignment="1">
      <alignment horizontal="center" vertical="center"/>
    </xf>
    <xf numFmtId="40" fontId="24" fillId="0" borderId="11" xfId="58" applyNumberFormat="1" applyFont="1" applyFill="1" applyBorder="1" applyAlignment="1">
      <alignment horizontal="center" vertical="center"/>
      <protection/>
    </xf>
    <xf numFmtId="40" fontId="24" fillId="0" borderId="11" xfId="58" applyNumberFormat="1" applyFont="1" applyBorder="1" applyAlignment="1">
      <alignment vertical="center"/>
      <protection/>
    </xf>
    <xf numFmtId="0" fontId="47" fillId="34" borderId="11" xfId="57" applyFont="1" applyFill="1" applyBorder="1" applyAlignment="1">
      <alignment horizontal="left" vertical="center" wrapText="1"/>
      <protection/>
    </xf>
    <xf numFmtId="0" fontId="47" fillId="34" borderId="11" xfId="58" applyFont="1" applyFill="1" applyBorder="1" applyAlignment="1">
      <alignment vertical="center" wrapText="1"/>
      <protection/>
    </xf>
    <xf numFmtId="43" fontId="0" fillId="0" borderId="0" xfId="46" applyFont="1" applyAlignment="1">
      <alignment/>
    </xf>
    <xf numFmtId="43" fontId="0" fillId="0" borderId="0" xfId="46" applyAlignment="1">
      <alignment/>
    </xf>
    <xf numFmtId="43" fontId="46" fillId="0" borderId="0" xfId="46" applyFont="1" applyBorder="1" applyAlignment="1">
      <alignment/>
    </xf>
    <xf numFmtId="43" fontId="0" fillId="0" borderId="0" xfId="46" applyFont="1" applyBorder="1" applyAlignment="1">
      <alignment/>
    </xf>
    <xf numFmtId="0" fontId="25" fillId="10" borderId="13" xfId="58" applyFont="1" applyFill="1" applyBorder="1" applyAlignment="1">
      <alignment horizontal="center" vertical="center" wrapText="1"/>
      <protection/>
    </xf>
    <xf numFmtId="0" fontId="22" fillId="10" borderId="13" xfId="58" applyFont="1" applyFill="1" applyBorder="1" applyAlignment="1">
      <alignment horizontal="center"/>
      <protection/>
    </xf>
    <xf numFmtId="0" fontId="22" fillId="10" borderId="0" xfId="58" applyFont="1" applyFill="1" applyBorder="1" applyAlignment="1">
      <alignment horizontal="center"/>
      <protection/>
    </xf>
    <xf numFmtId="43" fontId="25" fillId="10" borderId="14" xfId="46" applyFont="1" applyFill="1" applyBorder="1" applyAlignment="1">
      <alignment horizontal="center" vertical="center"/>
    </xf>
    <xf numFmtId="0" fontId="22" fillId="10" borderId="14" xfId="58" applyFont="1" applyFill="1" applyBorder="1" applyAlignment="1">
      <alignment horizontal="center" vertical="center" wrapText="1"/>
      <protection/>
    </xf>
    <xf numFmtId="0" fontId="22" fillId="10" borderId="14" xfId="58" applyFont="1" applyFill="1" applyBorder="1" applyAlignment="1">
      <alignment horizontal="center"/>
      <protection/>
    </xf>
    <xf numFmtId="43" fontId="22" fillId="33" borderId="10" xfId="46" applyFont="1" applyFill="1" applyBorder="1" applyAlignment="1">
      <alignment vertical="center"/>
    </xf>
    <xf numFmtId="43" fontId="22" fillId="33" borderId="11" xfId="46" applyFont="1" applyFill="1" applyBorder="1" applyAlignment="1">
      <alignment vertical="center"/>
    </xf>
    <xf numFmtId="40" fontId="22" fillId="33" borderId="15" xfId="58" applyNumberFormat="1" applyFont="1" applyFill="1" applyBorder="1" applyAlignment="1">
      <alignment vertical="center"/>
      <protection/>
    </xf>
    <xf numFmtId="10" fontId="22" fillId="33" borderId="10" xfId="58" applyNumberFormat="1" applyFont="1" applyFill="1" applyBorder="1" applyAlignment="1">
      <alignment vertical="center"/>
      <protection/>
    </xf>
    <xf numFmtId="40" fontId="22" fillId="33" borderId="10" xfId="58" applyNumberFormat="1" applyFont="1" applyFill="1" applyBorder="1" applyAlignment="1">
      <alignment vertical="center"/>
      <protection/>
    </xf>
    <xf numFmtId="40" fontId="22" fillId="33" borderId="11" xfId="58" applyNumberFormat="1" applyFont="1" applyFill="1" applyBorder="1" applyAlignment="1">
      <alignment vertical="center"/>
      <protection/>
    </xf>
    <xf numFmtId="10" fontId="22" fillId="33" borderId="11" xfId="58" applyNumberFormat="1" applyFont="1" applyFill="1" applyBorder="1" applyAlignment="1">
      <alignment vertical="center"/>
      <protection/>
    </xf>
    <xf numFmtId="10" fontId="24" fillId="33" borderId="11" xfId="58" applyNumberFormat="1" applyFont="1" applyFill="1" applyBorder="1" applyAlignment="1">
      <alignment vertical="center"/>
      <protection/>
    </xf>
    <xf numFmtId="43" fontId="48" fillId="11" borderId="11" xfId="46" applyFont="1" applyFill="1" applyBorder="1" applyAlignment="1">
      <alignment vertical="center"/>
    </xf>
    <xf numFmtId="40" fontId="22" fillId="11" borderId="11" xfId="58" applyNumberFormat="1" applyFont="1" applyFill="1" applyBorder="1" applyAlignment="1">
      <alignment vertical="center"/>
      <protection/>
    </xf>
    <xf numFmtId="10" fontId="22" fillId="11" borderId="11" xfId="58" applyNumberFormat="1" applyFont="1" applyFill="1" applyBorder="1" applyAlignment="1">
      <alignment vertical="center"/>
      <protection/>
    </xf>
    <xf numFmtId="40" fontId="48" fillId="11" borderId="11" xfId="58" applyNumberFormat="1" applyFont="1" applyFill="1" applyBorder="1" applyAlignment="1">
      <alignment vertical="center"/>
      <protection/>
    </xf>
    <xf numFmtId="10" fontId="48" fillId="11" borderId="11" xfId="58" applyNumberFormat="1" applyFont="1" applyFill="1" applyBorder="1" applyAlignment="1">
      <alignment vertical="center"/>
      <protection/>
    </xf>
    <xf numFmtId="40" fontId="24" fillId="34" borderId="0" xfId="58" applyNumberFormat="1" applyFont="1" applyFill="1" applyBorder="1">
      <alignment/>
      <protection/>
    </xf>
    <xf numFmtId="10" fontId="24" fillId="34" borderId="0" xfId="58" applyNumberFormat="1" applyFont="1" applyFill="1" applyBorder="1">
      <alignment/>
      <protection/>
    </xf>
    <xf numFmtId="0" fontId="0" fillId="34" borderId="11" xfId="58" applyFont="1" applyFill="1" applyBorder="1" applyAlignment="1">
      <alignment vertical="center"/>
      <protection/>
    </xf>
    <xf numFmtId="0" fontId="0" fillId="34" borderId="11" xfId="57" applyFont="1" applyFill="1" applyBorder="1" applyAlignment="1">
      <alignment vertical="center"/>
      <protection/>
    </xf>
    <xf numFmtId="0" fontId="50" fillId="0" borderId="0" xfId="58" applyFont="1" applyBorder="1" applyAlignment="1">
      <alignment/>
      <protection/>
    </xf>
    <xf numFmtId="0" fontId="51" fillId="0" borderId="0" xfId="58" applyFont="1" applyBorder="1" applyAlignment="1">
      <alignment/>
      <protection/>
    </xf>
    <xf numFmtId="0" fontId="52" fillId="0" borderId="0" xfId="0" applyFont="1" applyAlignment="1">
      <alignment/>
    </xf>
    <xf numFmtId="43" fontId="52" fillId="0" borderId="0" xfId="46" applyFont="1" applyAlignment="1">
      <alignment/>
    </xf>
    <xf numFmtId="43" fontId="0" fillId="0" borderId="0" xfId="46" applyFont="1" applyAlignment="1">
      <alignment/>
    </xf>
    <xf numFmtId="43" fontId="46" fillId="0" borderId="16" xfId="46" applyFont="1" applyBorder="1" applyAlignment="1">
      <alignment/>
    </xf>
    <xf numFmtId="0" fontId="46" fillId="0" borderId="0" xfId="0" applyFont="1" applyAlignment="1">
      <alignment horizontal="right"/>
    </xf>
    <xf numFmtId="43" fontId="46" fillId="0" borderId="17" xfId="46" applyFont="1" applyBorder="1" applyAlignment="1">
      <alignment/>
    </xf>
    <xf numFmtId="0" fontId="0" fillId="34" borderId="0" xfId="0" applyFill="1" applyAlignment="1">
      <alignment/>
    </xf>
    <xf numFmtId="43" fontId="0" fillId="34" borderId="0" xfId="46" applyFont="1" applyFill="1" applyAlignment="1">
      <alignment/>
    </xf>
    <xf numFmtId="43" fontId="0" fillId="34" borderId="18" xfId="46" applyFont="1" applyFill="1" applyBorder="1" applyAlignment="1">
      <alignment/>
    </xf>
    <xf numFmtId="0" fontId="0" fillId="0" borderId="11" xfId="0" applyBorder="1" applyAlignment="1">
      <alignment/>
    </xf>
    <xf numFmtId="43" fontId="0" fillId="0" borderId="11" xfId="46" applyFont="1" applyBorder="1" applyAlignment="1">
      <alignment/>
    </xf>
    <xf numFmtId="0" fontId="0" fillId="34" borderId="11" xfId="0" applyFill="1" applyBorder="1" applyAlignment="1">
      <alignment/>
    </xf>
    <xf numFmtId="43" fontId="0" fillId="34" borderId="11" xfId="46" applyFont="1" applyFill="1" applyBorder="1" applyAlignment="1">
      <alignment/>
    </xf>
    <xf numFmtId="0" fontId="0" fillId="0" borderId="0" xfId="0" applyBorder="1" applyAlignment="1">
      <alignment/>
    </xf>
    <xf numFmtId="0" fontId="46" fillId="0" borderId="0" xfId="0" applyFont="1" applyFill="1" applyBorder="1" applyAlignment="1">
      <alignment horizontal="right"/>
    </xf>
    <xf numFmtId="0" fontId="46" fillId="34" borderId="0" xfId="0" applyFont="1" applyFill="1" applyAlignment="1">
      <alignment horizontal="right"/>
    </xf>
    <xf numFmtId="43" fontId="46" fillId="34" borderId="16" xfId="46" applyFont="1" applyFill="1" applyBorder="1" applyAlignment="1">
      <alignment/>
    </xf>
    <xf numFmtId="43" fontId="46" fillId="34" borderId="0" xfId="46" applyFont="1" applyFill="1" applyBorder="1" applyAlignment="1">
      <alignment/>
    </xf>
    <xf numFmtId="0" fontId="52" fillId="34" borderId="0" xfId="0" applyFont="1" applyFill="1" applyAlignment="1">
      <alignment/>
    </xf>
    <xf numFmtId="43" fontId="52" fillId="34" borderId="0" xfId="46" applyFont="1" applyFill="1" applyAlignment="1">
      <alignment/>
    </xf>
    <xf numFmtId="0" fontId="0" fillId="0" borderId="10" xfId="0" applyBorder="1" applyAlignment="1">
      <alignment/>
    </xf>
    <xf numFmtId="43" fontId="0" fillId="0" borderId="10" xfId="46" applyFont="1" applyBorder="1" applyAlignment="1">
      <alignment/>
    </xf>
    <xf numFmtId="0" fontId="0" fillId="0" borderId="11" xfId="57" applyFont="1" applyFill="1" applyBorder="1">
      <alignment/>
      <protection/>
    </xf>
    <xf numFmtId="43" fontId="0" fillId="0" borderId="0" xfId="46" applyBorder="1" applyAlignment="1">
      <alignment/>
    </xf>
    <xf numFmtId="43" fontId="50" fillId="0" borderId="0" xfId="46" applyFont="1" applyBorder="1" applyAlignment="1">
      <alignment/>
    </xf>
    <xf numFmtId="43" fontId="51" fillId="0" borderId="0" xfId="46" applyFont="1" applyBorder="1" applyAlignment="1">
      <alignment/>
    </xf>
    <xf numFmtId="43" fontId="0" fillId="0" borderId="0" xfId="46" applyFont="1" applyAlignment="1">
      <alignment/>
    </xf>
    <xf numFmtId="43" fontId="52" fillId="0" borderId="0" xfId="46" applyFont="1" applyBorder="1" applyAlignment="1">
      <alignment/>
    </xf>
    <xf numFmtId="43" fontId="0" fillId="34" borderId="0" xfId="46" applyFont="1" applyFill="1" applyAlignment="1">
      <alignment/>
    </xf>
    <xf numFmtId="43" fontId="52" fillId="34" borderId="0" xfId="46" applyFont="1" applyFill="1" applyAlignment="1">
      <alignment/>
    </xf>
    <xf numFmtId="43" fontId="53" fillId="0" borderId="0" xfId="46" applyFont="1" applyAlignment="1">
      <alignment/>
    </xf>
    <xf numFmtId="43" fontId="54" fillId="0" borderId="0" xfId="46" applyFont="1" applyAlignment="1">
      <alignment/>
    </xf>
    <xf numFmtId="43" fontId="0" fillId="0" borderId="0" xfId="46" applyFont="1" applyAlignment="1">
      <alignment/>
    </xf>
    <xf numFmtId="0" fontId="0" fillId="0" borderId="11" xfId="57" applyFont="1" applyFill="1" applyBorder="1" applyAlignment="1">
      <alignment vertical="center"/>
      <protection/>
    </xf>
    <xf numFmtId="43" fontId="0" fillId="0" borderId="0" xfId="46" applyFont="1" applyAlignment="1">
      <alignment/>
    </xf>
    <xf numFmtId="43" fontId="0" fillId="33" borderId="0" xfId="46" applyFont="1" applyFill="1" applyAlignment="1">
      <alignment/>
    </xf>
    <xf numFmtId="0" fontId="0" fillId="33" borderId="0" xfId="0" applyFill="1" applyAlignment="1">
      <alignment/>
    </xf>
    <xf numFmtId="43" fontId="0" fillId="34" borderId="10" xfId="46" applyFont="1" applyFill="1" applyBorder="1" applyAlignment="1">
      <alignment/>
    </xf>
    <xf numFmtId="10" fontId="0" fillId="0" borderId="0" xfId="58" applyNumberFormat="1">
      <alignment/>
      <protection/>
    </xf>
    <xf numFmtId="43" fontId="22" fillId="11" borderId="11" xfId="46" applyFont="1" applyFill="1" applyBorder="1" applyAlignment="1">
      <alignment vertical="center"/>
    </xf>
    <xf numFmtId="10" fontId="0" fillId="0" borderId="0" xfId="58" applyNumberFormat="1" applyFont="1" applyBorder="1">
      <alignment/>
      <protection/>
    </xf>
    <xf numFmtId="0" fontId="0" fillId="34" borderId="11" xfId="57" applyFont="1" applyFill="1" applyBorder="1">
      <alignment/>
      <protection/>
    </xf>
    <xf numFmtId="0" fontId="24" fillId="0" borderId="11" xfId="57" applyFont="1" applyFill="1" applyBorder="1" applyAlignment="1">
      <alignment vertical="center"/>
      <protection/>
    </xf>
    <xf numFmtId="0" fontId="0" fillId="0" borderId="11" xfId="57" applyFont="1" applyFill="1" applyBorder="1">
      <alignment/>
      <protection/>
    </xf>
    <xf numFmtId="0" fontId="47" fillId="34" borderId="11" xfId="57" applyFont="1" applyFill="1" applyBorder="1" applyAlignment="1">
      <alignment horizontal="left" vertical="center"/>
      <protection/>
    </xf>
    <xf numFmtId="0" fontId="0" fillId="34" borderId="11" xfId="57" applyFont="1" applyFill="1" applyBorder="1" applyAlignment="1">
      <alignment vertical="center"/>
      <protection/>
    </xf>
    <xf numFmtId="0" fontId="46" fillId="33" borderId="11" xfId="58" applyFont="1" applyFill="1" applyBorder="1" applyAlignment="1">
      <alignment horizontal="left" vertical="center" wrapText="1"/>
      <protection/>
    </xf>
    <xf numFmtId="0" fontId="0" fillId="0" borderId="11" xfId="57" applyFont="1" applyFill="1" applyBorder="1" applyAlignment="1">
      <alignment vertical="center"/>
      <protection/>
    </xf>
    <xf numFmtId="0" fontId="0" fillId="34" borderId="11" xfId="57" applyFont="1" applyFill="1" applyBorder="1">
      <alignment/>
      <protection/>
    </xf>
    <xf numFmtId="0" fontId="0" fillId="0" borderId="11" xfId="58" applyFont="1" applyFill="1" applyBorder="1">
      <alignment/>
      <protection/>
    </xf>
    <xf numFmtId="0" fontId="46" fillId="33" borderId="11" xfId="58" applyFont="1" applyFill="1" applyBorder="1" applyAlignment="1">
      <alignment vertical="center" wrapText="1"/>
      <protection/>
    </xf>
    <xf numFmtId="0" fontId="22" fillId="33" borderId="11" xfId="58" applyNumberFormat="1" applyFont="1" applyFill="1" applyBorder="1" applyAlignment="1">
      <alignment vertical="center"/>
      <protection/>
    </xf>
    <xf numFmtId="43" fontId="22" fillId="33" borderId="11" xfId="58" applyNumberFormat="1" applyFont="1" applyFill="1" applyBorder="1" applyAlignment="1">
      <alignment vertical="center"/>
      <protection/>
    </xf>
    <xf numFmtId="40" fontId="24" fillId="33" borderId="11" xfId="58" applyNumberFormat="1" applyFont="1" applyFill="1" applyBorder="1" applyAlignment="1">
      <alignment vertical="center"/>
      <protection/>
    </xf>
    <xf numFmtId="40" fontId="24" fillId="34" borderId="11" xfId="58" applyNumberFormat="1" applyFont="1" applyFill="1" applyBorder="1" applyAlignment="1">
      <alignment vertical="center"/>
      <protection/>
    </xf>
    <xf numFmtId="10" fontId="24" fillId="34" borderId="11" xfId="58" applyNumberFormat="1" applyFont="1" applyFill="1" applyBorder="1" applyAlignment="1">
      <alignment vertical="center"/>
      <protection/>
    </xf>
    <xf numFmtId="40" fontId="22" fillId="34" borderId="11" xfId="58" applyNumberFormat="1" applyFont="1" applyFill="1" applyBorder="1" applyAlignment="1">
      <alignment vertical="center"/>
      <protection/>
    </xf>
    <xf numFmtId="43" fontId="24" fillId="34" borderId="11" xfId="58" applyNumberFormat="1" applyFont="1" applyFill="1" applyBorder="1" applyAlignment="1">
      <alignment vertical="center"/>
      <protection/>
    </xf>
    <xf numFmtId="0" fontId="0" fillId="0" borderId="0" xfId="58" applyBorder="1" applyAlignment="1">
      <alignment horizontal="center"/>
      <protection/>
    </xf>
    <xf numFmtId="0" fontId="50" fillId="0" borderId="0" xfId="58" applyFont="1" applyBorder="1" applyAlignment="1">
      <alignment horizontal="center"/>
      <protection/>
    </xf>
    <xf numFmtId="0" fontId="51" fillId="0" borderId="0" xfId="58" applyFont="1" applyBorder="1" applyAlignment="1">
      <alignment horizontal="center"/>
      <protection/>
    </xf>
    <xf numFmtId="0" fontId="5" fillId="0" borderId="0" xfId="55" applyFont="1" applyAlignment="1">
      <alignment horizontal="center" vertical="center"/>
      <protection/>
    </xf>
    <xf numFmtId="0" fontId="22" fillId="10" borderId="13" xfId="58" applyFont="1" applyFill="1" applyBorder="1" applyAlignment="1">
      <alignment horizontal="center" vertical="center" wrapText="1"/>
      <protection/>
    </xf>
    <xf numFmtId="0" fontId="22" fillId="10" borderId="14" xfId="58" applyFont="1" applyFill="1" applyBorder="1" applyAlignment="1">
      <alignment horizontal="center" vertical="center" wrapText="1"/>
      <protection/>
    </xf>
    <xf numFmtId="0" fontId="46" fillId="11" borderId="11" xfId="58" applyFont="1" applyFill="1" applyBorder="1" applyAlignment="1">
      <alignment horizontal="left"/>
      <protection/>
    </xf>
    <xf numFmtId="0" fontId="50" fillId="10" borderId="19" xfId="0" applyFont="1" applyFill="1" applyBorder="1" applyAlignment="1">
      <alignment horizontal="center" vertical="center"/>
    </xf>
    <xf numFmtId="0" fontId="50" fillId="10" borderId="20" xfId="0" applyFont="1" applyFill="1" applyBorder="1" applyAlignment="1">
      <alignment horizontal="center" vertical="center"/>
    </xf>
    <xf numFmtId="0" fontId="50" fillId="10" borderId="21" xfId="0" applyFont="1" applyFill="1" applyBorder="1" applyAlignment="1">
      <alignment horizontal="center" vertical="center"/>
    </xf>
    <xf numFmtId="0" fontId="22" fillId="10" borderId="13" xfId="58" applyFont="1" applyFill="1" applyBorder="1" applyAlignment="1">
      <alignment horizontal="center" vertical="center"/>
      <protection/>
    </xf>
    <xf numFmtId="0" fontId="22" fillId="10" borderId="14" xfId="58" applyFont="1" applyFill="1" applyBorder="1" applyAlignment="1">
      <alignment horizontal="center" vertical="center"/>
      <protection/>
    </xf>
    <xf numFmtId="0" fontId="52" fillId="34" borderId="19" xfId="0" applyFont="1" applyFill="1" applyBorder="1" applyAlignment="1">
      <alignment horizontal="center"/>
    </xf>
    <xf numFmtId="0" fontId="52" fillId="34" borderId="20" xfId="0" applyFont="1" applyFill="1" applyBorder="1" applyAlignment="1">
      <alignment horizontal="center"/>
    </xf>
    <xf numFmtId="0" fontId="52" fillId="34" borderId="21" xfId="0" applyFont="1" applyFill="1" applyBorder="1" applyAlignment="1">
      <alignment horizontal="center"/>
    </xf>
    <xf numFmtId="0" fontId="52" fillId="0" borderId="19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0" fontId="52" fillId="34" borderId="0" xfId="0" applyFont="1" applyFill="1" applyAlignment="1">
      <alignment horizontal="center"/>
    </xf>
    <xf numFmtId="0" fontId="52" fillId="8" borderId="19" xfId="0" applyFont="1" applyFill="1" applyBorder="1" applyAlignment="1">
      <alignment horizontal="center"/>
    </xf>
    <xf numFmtId="0" fontId="52" fillId="8" borderId="20" xfId="0" applyFont="1" applyFill="1" applyBorder="1" applyAlignment="1">
      <alignment horizontal="center"/>
    </xf>
    <xf numFmtId="0" fontId="52" fillId="8" borderId="21" xfId="0" applyFont="1" applyFill="1" applyBorder="1" applyAlignment="1">
      <alignment horizontal="center"/>
    </xf>
    <xf numFmtId="43" fontId="22" fillId="10" borderId="13" xfId="46" applyFont="1" applyFill="1" applyBorder="1" applyAlignment="1">
      <alignment horizontal="center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Millares 5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rmal 4 2" xfId="58"/>
    <cellStyle name="Normal 4 3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390525</xdr:colOff>
      <xdr:row>0</xdr:row>
      <xdr:rowOff>0</xdr:rowOff>
    </xdr:from>
    <xdr:to>
      <xdr:col>7</xdr:col>
      <xdr:colOff>38100</xdr:colOff>
      <xdr:row>3</xdr:row>
      <xdr:rowOff>238125</xdr:rowOff>
    </xdr:to>
    <xdr:pic>
      <xdr:nvPicPr>
        <xdr:cNvPr id="1" name="il_fi" descr="http://www.cosasdelcibao.net/wp-content/uploads/2009/11/dncd-logo-new-261x3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0"/>
          <a:ext cx="762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809625</xdr:colOff>
      <xdr:row>126</xdr:row>
      <xdr:rowOff>47625</xdr:rowOff>
    </xdr:from>
    <xdr:to>
      <xdr:col>10</xdr:col>
      <xdr:colOff>342900</xdr:colOff>
      <xdr:row>138</xdr:row>
      <xdr:rowOff>19050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53100" y="22955250"/>
          <a:ext cx="3952875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1952625</xdr:colOff>
      <xdr:row>0</xdr:row>
      <xdr:rowOff>19050</xdr:rowOff>
    </xdr:from>
    <xdr:to>
      <xdr:col>1</xdr:col>
      <xdr:colOff>2619375</xdr:colOff>
      <xdr:row>3</xdr:row>
      <xdr:rowOff>180975</xdr:rowOff>
    </xdr:to>
    <xdr:pic>
      <xdr:nvPicPr>
        <xdr:cNvPr id="1" name="il_fi" descr="http://www.cosasdelcibao.net/wp-content/uploads/2009/11/dncd-logo-new-261x3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9050"/>
          <a:ext cx="666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141"/>
  <sheetViews>
    <sheetView tabSelected="1" zoomScale="85" zoomScaleNormal="85" zoomScalePageLayoutView="0" workbookViewId="0" topLeftCell="A117">
      <selection activeCell="Q126" sqref="Q126"/>
    </sheetView>
  </sheetViews>
  <sheetFormatPr defaultColWidth="11.421875" defaultRowHeight="15"/>
  <cols>
    <col min="1" max="1" width="9.57421875" style="4" customWidth="1"/>
    <col min="2" max="2" width="47.7109375" style="4" customWidth="1"/>
    <col min="3" max="3" width="16.8515625" style="131" bestFit="1" customWidth="1"/>
    <col min="4" max="5" width="15.140625" style="18" bestFit="1" customWidth="1"/>
    <col min="6" max="6" width="9.00390625" style="18" bestFit="1" customWidth="1"/>
    <col min="7" max="7" width="7.7109375" style="18" bestFit="1" customWidth="1"/>
    <col min="8" max="8" width="6.00390625" style="18" bestFit="1" customWidth="1"/>
    <col min="9" max="9" width="6.7109375" style="18" bestFit="1" customWidth="1"/>
    <col min="10" max="10" width="6.57421875" style="18" bestFit="1" customWidth="1"/>
    <col min="11" max="11" width="6.00390625" style="18" bestFit="1" customWidth="1"/>
    <col min="12" max="12" width="7.140625" style="18" customWidth="1"/>
    <col min="13" max="13" width="5.7109375" style="18" bestFit="1" customWidth="1"/>
    <col min="14" max="14" width="5.140625" style="18" bestFit="1" customWidth="1"/>
    <col min="15" max="15" width="5.7109375" style="18" bestFit="1" customWidth="1"/>
    <col min="16" max="16" width="5.140625" style="18" bestFit="1" customWidth="1"/>
    <col min="17" max="17" width="17.00390625" style="18" bestFit="1" customWidth="1"/>
    <col min="18" max="18" width="11.7109375" style="18" bestFit="1" customWidth="1"/>
    <col min="19" max="19" width="15.00390625" style="4" hidden="1" customWidth="1"/>
    <col min="20" max="20" width="13.8515625" style="4" hidden="1" customWidth="1"/>
    <col min="21" max="21" width="16.421875" style="18" bestFit="1" customWidth="1"/>
    <col min="22" max="22" width="11.57421875" style="18" bestFit="1" customWidth="1"/>
    <col min="23" max="23" width="11.7109375" style="4" bestFit="1" customWidth="1"/>
    <col min="24" max="16384" width="11.421875" style="4" customWidth="1"/>
  </cols>
  <sheetData>
    <row r="1" ht="15"/>
    <row r="2" ht="15"/>
    <row r="3" spans="1:22" ht="15">
      <c r="A3" s="2"/>
      <c r="B3" s="155"/>
      <c r="C3" s="6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3"/>
      <c r="U3" s="2"/>
      <c r="V3" s="2"/>
    </row>
    <row r="4" spans="1:22" ht="19.5" customHeight="1">
      <c r="A4" s="2"/>
      <c r="B4" s="155"/>
      <c r="C4" s="6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3"/>
      <c r="U4" s="2"/>
      <c r="V4" s="2"/>
    </row>
    <row r="5" spans="1:22" ht="18.75">
      <c r="A5" s="156" t="s">
        <v>0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</row>
    <row r="6" spans="1:22" ht="21">
      <c r="A6" s="157" t="s">
        <v>1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</row>
    <row r="7" spans="1:22" ht="16.5" customHeight="1">
      <c r="A7" s="156" t="s">
        <v>2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</row>
    <row r="8" spans="1:22" ht="21">
      <c r="A8" s="157" t="s">
        <v>3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</row>
    <row r="9" spans="1:22" ht="18.75">
      <c r="A9" s="156" t="s">
        <v>275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</row>
    <row r="10" spans="1:22" ht="6" customHeight="1">
      <c r="A10" s="2"/>
      <c r="B10" s="2"/>
      <c r="C10" s="69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"/>
      <c r="T10" s="3"/>
      <c r="U10" s="2"/>
      <c r="V10" s="2"/>
    </row>
    <row r="11" spans="1:22" ht="6" customHeight="1">
      <c r="A11" s="2"/>
      <c r="B11" s="2"/>
      <c r="C11" s="69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3"/>
      <c r="T11" s="3"/>
      <c r="U11" s="2"/>
      <c r="V11" s="2"/>
    </row>
    <row r="12" spans="1:22" ht="6" customHeight="1" thickBot="1">
      <c r="A12" s="2"/>
      <c r="B12" s="2"/>
      <c r="C12" s="69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"/>
      <c r="T12" s="3"/>
      <c r="U12" s="2"/>
      <c r="V12" s="2"/>
    </row>
    <row r="13" spans="1:22" ht="19.5" customHeight="1" thickBot="1">
      <c r="A13" s="159" t="s">
        <v>4</v>
      </c>
      <c r="B13" s="165" t="s">
        <v>5</v>
      </c>
      <c r="C13" s="177">
        <v>2021</v>
      </c>
      <c r="D13" s="72" t="s">
        <v>167</v>
      </c>
      <c r="E13" s="162" t="s">
        <v>6</v>
      </c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4"/>
      <c r="Q13" s="73" t="s">
        <v>7</v>
      </c>
      <c r="R13" s="73" t="s">
        <v>8</v>
      </c>
      <c r="S13" s="74" t="s">
        <v>7</v>
      </c>
      <c r="T13" s="74" t="s">
        <v>9</v>
      </c>
      <c r="U13" s="73" t="s">
        <v>140</v>
      </c>
      <c r="V13" s="73" t="s">
        <v>273</v>
      </c>
    </row>
    <row r="14" spans="1:22" ht="15" customHeight="1" thickBot="1">
      <c r="A14" s="160"/>
      <c r="B14" s="166"/>
      <c r="C14" s="75" t="s">
        <v>10</v>
      </c>
      <c r="D14" s="76" t="s">
        <v>168</v>
      </c>
      <c r="E14" s="77" t="s">
        <v>11</v>
      </c>
      <c r="F14" s="77" t="s">
        <v>12</v>
      </c>
      <c r="G14" s="77" t="s">
        <v>13</v>
      </c>
      <c r="H14" s="77" t="s">
        <v>154</v>
      </c>
      <c r="I14" s="77" t="s">
        <v>14</v>
      </c>
      <c r="J14" s="77" t="s">
        <v>15</v>
      </c>
      <c r="K14" s="77" t="s">
        <v>16</v>
      </c>
      <c r="L14" s="77" t="s">
        <v>195</v>
      </c>
      <c r="M14" s="77" t="s">
        <v>186</v>
      </c>
      <c r="N14" s="77" t="s">
        <v>187</v>
      </c>
      <c r="O14" s="77" t="s">
        <v>188</v>
      </c>
      <c r="P14" s="77" t="s">
        <v>189</v>
      </c>
      <c r="Q14" s="77" t="s">
        <v>17</v>
      </c>
      <c r="R14" s="77" t="s">
        <v>17</v>
      </c>
      <c r="S14" s="74" t="s">
        <v>18</v>
      </c>
      <c r="T14" s="74" t="s">
        <v>18</v>
      </c>
      <c r="U14" s="77" t="s">
        <v>139</v>
      </c>
      <c r="V14" s="77" t="s">
        <v>139</v>
      </c>
    </row>
    <row r="15" spans="1:22" ht="15">
      <c r="A15" s="31" t="s">
        <v>19</v>
      </c>
      <c r="B15" s="5" t="s">
        <v>20</v>
      </c>
      <c r="C15" s="78">
        <f>+C16+C17+C18+C19+C20+C21+C22+C23+C24</f>
        <v>1279903724.24</v>
      </c>
      <c r="D15" s="78"/>
      <c r="E15" s="78">
        <f>+E16+E17+E18+E19+E20+E21+E22+E23+E24</f>
        <v>104147051.1</v>
      </c>
      <c r="F15" s="78">
        <f aca="true" t="shared" si="0" ref="F15:P15">+F16+F17+F18+F19+F22+F23+F24</f>
        <v>0</v>
      </c>
      <c r="G15" s="78">
        <f t="shared" si="0"/>
        <v>0</v>
      </c>
      <c r="H15" s="78">
        <f t="shared" si="0"/>
        <v>0</v>
      </c>
      <c r="I15" s="78">
        <f t="shared" si="0"/>
        <v>0</v>
      </c>
      <c r="J15" s="78">
        <f t="shared" si="0"/>
        <v>0</v>
      </c>
      <c r="K15" s="78">
        <f t="shared" si="0"/>
        <v>0</v>
      </c>
      <c r="L15" s="78">
        <f t="shared" si="0"/>
        <v>0</v>
      </c>
      <c r="M15" s="78">
        <f t="shared" si="0"/>
        <v>0</v>
      </c>
      <c r="N15" s="78">
        <f t="shared" si="0"/>
        <v>0</v>
      </c>
      <c r="O15" s="78">
        <f t="shared" si="0"/>
        <v>0</v>
      </c>
      <c r="P15" s="78">
        <f t="shared" si="0"/>
        <v>0</v>
      </c>
      <c r="Q15" s="80">
        <f>SUM(E15:P15)</f>
        <v>104147051.1</v>
      </c>
      <c r="R15" s="81">
        <f>+Q15/(C15+D15)</f>
        <v>0.08137100402754274</v>
      </c>
      <c r="S15" s="82">
        <f>SUM(S16:S24)</f>
        <v>1175756673.14</v>
      </c>
      <c r="T15" s="81">
        <f aca="true" t="shared" si="1" ref="T15:T25">+S15/C15</f>
        <v>0.9186289959724573</v>
      </c>
      <c r="U15" s="83">
        <f>+C15+D15-Q15</f>
        <v>1175756673.14</v>
      </c>
      <c r="V15" s="81">
        <f>+U15/C15</f>
        <v>0.9186289959724573</v>
      </c>
    </row>
    <row r="16" spans="1:29" ht="15">
      <c r="A16" s="138" t="s">
        <v>96</v>
      </c>
      <c r="B16" s="27" t="s">
        <v>21</v>
      </c>
      <c r="C16" s="47">
        <f>1049085379.44-500000-91200000</f>
        <v>957385379.44</v>
      </c>
      <c r="D16" s="48"/>
      <c r="E16" s="48">
        <v>75431511.06</v>
      </c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151">
        <f>SUM(E16:P16)</f>
        <v>75431511.06</v>
      </c>
      <c r="R16" s="152">
        <f>+Q16/(C16+D16)</f>
        <v>0.07878907771092335</v>
      </c>
      <c r="S16" s="151">
        <f aca="true" t="shared" si="2" ref="S16:S24">+C16-Q16</f>
        <v>881953868.3800001</v>
      </c>
      <c r="T16" s="152">
        <f t="shared" si="1"/>
        <v>0.9212109222890768</v>
      </c>
      <c r="U16" s="151">
        <f>+C16+D16-Q16</f>
        <v>881953868.3800001</v>
      </c>
      <c r="V16" s="152">
        <f>+U16/C16</f>
        <v>0.9212109222890768</v>
      </c>
      <c r="W16" s="3"/>
      <c r="X16" s="3"/>
      <c r="Y16" s="3"/>
      <c r="Z16" s="3"/>
      <c r="AA16" s="3"/>
      <c r="AB16" s="3"/>
      <c r="AC16" s="3"/>
    </row>
    <row r="17" spans="1:29" ht="15">
      <c r="A17" s="138" t="s">
        <v>190</v>
      </c>
      <c r="B17" s="27" t="s">
        <v>191</v>
      </c>
      <c r="C17" s="47">
        <v>144000000</v>
      </c>
      <c r="D17" s="48"/>
      <c r="E17" s="48">
        <v>16400000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151">
        <f aca="true" t="shared" si="3" ref="Q17:Q24">SUM(E17:P17)</f>
        <v>16400000</v>
      </c>
      <c r="R17" s="152">
        <f aca="true" t="shared" si="4" ref="R17:R24">+Q17/(C17+D17)</f>
        <v>0.11388888888888889</v>
      </c>
      <c r="S17" s="151">
        <f t="shared" si="2"/>
        <v>127600000</v>
      </c>
      <c r="T17" s="152">
        <f t="shared" si="1"/>
        <v>0.8861111111111111</v>
      </c>
      <c r="U17" s="151">
        <f>+C17+D17-Q17</f>
        <v>127600000</v>
      </c>
      <c r="V17" s="152" t="e">
        <f>+U17/D17</f>
        <v>#DIV/0!</v>
      </c>
      <c r="W17" s="3"/>
      <c r="X17" s="3"/>
      <c r="Y17" s="3"/>
      <c r="Z17" s="3"/>
      <c r="AA17" s="3"/>
      <c r="AB17" s="3"/>
      <c r="AC17" s="3"/>
    </row>
    <row r="18" spans="1:29" ht="15">
      <c r="A18" s="138" t="s">
        <v>97</v>
      </c>
      <c r="B18" s="27" t="s">
        <v>22</v>
      </c>
      <c r="C18" s="47">
        <v>34138799</v>
      </c>
      <c r="D18" s="48"/>
      <c r="E18" s="48">
        <v>0</v>
      </c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151">
        <f t="shared" si="3"/>
        <v>0</v>
      </c>
      <c r="R18" s="152">
        <f t="shared" si="4"/>
        <v>0</v>
      </c>
      <c r="S18" s="151">
        <f t="shared" si="2"/>
        <v>34138799</v>
      </c>
      <c r="T18" s="152">
        <f t="shared" si="1"/>
        <v>1</v>
      </c>
      <c r="U18" s="151">
        <f aca="true" t="shared" si="5" ref="U18:U24">+C18-Q18</f>
        <v>34138799</v>
      </c>
      <c r="V18" s="152">
        <f>+U18/C18</f>
        <v>1</v>
      </c>
      <c r="W18" s="3"/>
      <c r="X18" s="3"/>
      <c r="Y18" s="3"/>
      <c r="Z18" s="3"/>
      <c r="AA18" s="3"/>
      <c r="AB18" s="3"/>
      <c r="AC18" s="3"/>
    </row>
    <row r="19" spans="1:29" ht="15">
      <c r="A19" s="94" t="s">
        <v>98</v>
      </c>
      <c r="B19" s="141" t="s">
        <v>23</v>
      </c>
      <c r="C19" s="47">
        <v>29880000</v>
      </c>
      <c r="D19" s="48"/>
      <c r="E19" s="48">
        <v>2342402</v>
      </c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151">
        <f t="shared" si="3"/>
        <v>2342402</v>
      </c>
      <c r="R19" s="152">
        <f t="shared" si="4"/>
        <v>0.07839364123159304</v>
      </c>
      <c r="S19" s="151">
        <f t="shared" si="2"/>
        <v>27537598</v>
      </c>
      <c r="T19" s="152">
        <f t="shared" si="1"/>
        <v>0.9216063587684069</v>
      </c>
      <c r="U19" s="151">
        <f t="shared" si="5"/>
        <v>27537598</v>
      </c>
      <c r="V19" s="152">
        <f>+U19/C19</f>
        <v>0.9216063587684069</v>
      </c>
      <c r="W19" s="3"/>
      <c r="X19" s="3"/>
      <c r="Y19" s="3"/>
      <c r="Z19" s="3"/>
      <c r="AA19" s="3"/>
      <c r="AB19" s="3"/>
      <c r="AC19" s="3"/>
    </row>
    <row r="20" spans="1:29" ht="15">
      <c r="A20" s="142" t="s">
        <v>142</v>
      </c>
      <c r="B20" s="141" t="s">
        <v>192</v>
      </c>
      <c r="C20" s="47">
        <v>500000</v>
      </c>
      <c r="D20" s="48"/>
      <c r="E20" s="48">
        <v>416500</v>
      </c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151">
        <f t="shared" si="3"/>
        <v>416500</v>
      </c>
      <c r="R20" s="154">
        <f>+Q20/(C20+D20)</f>
        <v>0.833</v>
      </c>
      <c r="S20" s="151">
        <f>+C20-Q20</f>
        <v>83500</v>
      </c>
      <c r="T20" s="152">
        <f>+S20/C20</f>
        <v>0.167</v>
      </c>
      <c r="U20" s="151">
        <f t="shared" si="5"/>
        <v>83500</v>
      </c>
      <c r="V20" s="152">
        <f>+U20/C20</f>
        <v>0.167</v>
      </c>
      <c r="W20" s="3"/>
      <c r="X20" s="3"/>
      <c r="Y20" s="3"/>
      <c r="Z20" s="3"/>
      <c r="AA20" s="3"/>
      <c r="AB20" s="3"/>
      <c r="AC20" s="3"/>
    </row>
    <row r="21" spans="1:29" ht="30">
      <c r="A21" s="142" t="s">
        <v>193</v>
      </c>
      <c r="B21" s="66" t="s">
        <v>289</v>
      </c>
      <c r="C21" s="47">
        <v>91200000</v>
      </c>
      <c r="D21" s="48"/>
      <c r="E21" s="48">
        <v>7660435</v>
      </c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151">
        <f t="shared" si="3"/>
        <v>7660435</v>
      </c>
      <c r="R21" s="152">
        <f t="shared" si="4"/>
        <v>0.08399599780701754</v>
      </c>
      <c r="S21" s="151">
        <f>+C21-Q21</f>
        <v>83539565</v>
      </c>
      <c r="T21" s="152">
        <f>+S21/C21</f>
        <v>0.9160040021929825</v>
      </c>
      <c r="U21" s="151">
        <f t="shared" si="5"/>
        <v>83539565</v>
      </c>
      <c r="V21" s="152">
        <f>+U21/C21</f>
        <v>0.9160040021929825</v>
      </c>
      <c r="W21" s="3"/>
      <c r="X21" s="3"/>
      <c r="Y21" s="3"/>
      <c r="Z21" s="3"/>
      <c r="AA21" s="3"/>
      <c r="AB21" s="3"/>
      <c r="AC21" s="3"/>
    </row>
    <row r="22" spans="1:29" ht="15">
      <c r="A22" s="94" t="s">
        <v>132</v>
      </c>
      <c r="B22" s="67" t="s">
        <v>201</v>
      </c>
      <c r="C22" s="47">
        <v>450000</v>
      </c>
      <c r="D22" s="48"/>
      <c r="E22" s="48">
        <v>76280.46</v>
      </c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151">
        <f t="shared" si="3"/>
        <v>76280.46</v>
      </c>
      <c r="R22" s="152">
        <f t="shared" si="4"/>
        <v>0.16951213333333334</v>
      </c>
      <c r="S22" s="151">
        <f t="shared" si="2"/>
        <v>373719.54</v>
      </c>
      <c r="T22" s="152">
        <f t="shared" si="1"/>
        <v>0.8304878666666666</v>
      </c>
      <c r="U22" s="151">
        <f t="shared" si="5"/>
        <v>373719.54</v>
      </c>
      <c r="V22" s="152">
        <v>0</v>
      </c>
      <c r="W22" s="3"/>
      <c r="X22" s="3"/>
      <c r="Y22" s="3"/>
      <c r="Z22" s="3"/>
      <c r="AA22" s="3"/>
      <c r="AB22" s="3"/>
      <c r="AC22" s="3"/>
    </row>
    <row r="23" spans="1:29" ht="15">
      <c r="A23" s="138" t="s">
        <v>99</v>
      </c>
      <c r="B23" s="27" t="s">
        <v>24</v>
      </c>
      <c r="C23" s="47">
        <v>19323121.8</v>
      </c>
      <c r="D23" s="48"/>
      <c r="E23" s="48">
        <v>1575484.48</v>
      </c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151">
        <f t="shared" si="3"/>
        <v>1575484.48</v>
      </c>
      <c r="R23" s="152">
        <f t="shared" si="4"/>
        <v>0.0815336412152616</v>
      </c>
      <c r="S23" s="151">
        <f t="shared" si="2"/>
        <v>17747637.32</v>
      </c>
      <c r="T23" s="152">
        <f t="shared" si="1"/>
        <v>0.9184663587847384</v>
      </c>
      <c r="U23" s="151">
        <f t="shared" si="5"/>
        <v>17747637.32</v>
      </c>
      <c r="V23" s="152">
        <v>0</v>
      </c>
      <c r="W23" s="3"/>
      <c r="X23" s="3"/>
      <c r="Y23" s="3"/>
      <c r="Z23" s="3"/>
      <c r="AA23" s="3"/>
      <c r="AB23" s="3"/>
      <c r="AC23" s="3"/>
    </row>
    <row r="24" spans="1:29" ht="15">
      <c r="A24" s="94" t="s">
        <v>171</v>
      </c>
      <c r="B24" s="66" t="s">
        <v>100</v>
      </c>
      <c r="C24" s="47">
        <v>3026424</v>
      </c>
      <c r="D24" s="48"/>
      <c r="E24" s="48">
        <v>244438.1</v>
      </c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151">
        <f t="shared" si="3"/>
        <v>244438.1</v>
      </c>
      <c r="R24" s="152">
        <f t="shared" si="4"/>
        <v>0.08076796245337732</v>
      </c>
      <c r="S24" s="151">
        <f t="shared" si="2"/>
        <v>2781985.9</v>
      </c>
      <c r="T24" s="152">
        <f t="shared" si="1"/>
        <v>0.9192320375466226</v>
      </c>
      <c r="U24" s="151">
        <f t="shared" si="5"/>
        <v>2781985.9</v>
      </c>
      <c r="V24" s="152">
        <f>+U24/C24</f>
        <v>0.9192320375466226</v>
      </c>
      <c r="W24" s="3"/>
      <c r="X24" s="3"/>
      <c r="Y24" s="3"/>
      <c r="Z24" s="3"/>
      <c r="AA24" s="3"/>
      <c r="AB24" s="3"/>
      <c r="AC24" s="3"/>
    </row>
    <row r="25" spans="1:29" s="7" customFormat="1" ht="15">
      <c r="A25" s="23" t="s">
        <v>25</v>
      </c>
      <c r="B25" s="8" t="s">
        <v>26</v>
      </c>
      <c r="C25" s="79">
        <f>+C27+C28+C29+C30+C31</f>
        <v>43317325</v>
      </c>
      <c r="D25" s="79"/>
      <c r="E25" s="79">
        <f>+E27+E28+E29+E30+E31</f>
        <v>4208438.779999999</v>
      </c>
      <c r="F25" s="79">
        <f aca="true" t="shared" si="6" ref="F25:P25">+F27+F28+F29+F30+F31</f>
        <v>0</v>
      </c>
      <c r="G25" s="79">
        <f t="shared" si="6"/>
        <v>0</v>
      </c>
      <c r="H25" s="79">
        <f t="shared" si="6"/>
        <v>0</v>
      </c>
      <c r="I25" s="79">
        <f t="shared" si="6"/>
        <v>0</v>
      </c>
      <c r="J25" s="79">
        <f t="shared" si="6"/>
        <v>0</v>
      </c>
      <c r="K25" s="79">
        <f t="shared" si="6"/>
        <v>0</v>
      </c>
      <c r="L25" s="79">
        <f t="shared" si="6"/>
        <v>0</v>
      </c>
      <c r="M25" s="79">
        <f t="shared" si="6"/>
        <v>0</v>
      </c>
      <c r="N25" s="79">
        <f t="shared" si="6"/>
        <v>0</v>
      </c>
      <c r="O25" s="79">
        <f t="shared" si="6"/>
        <v>0</v>
      </c>
      <c r="P25" s="79">
        <f t="shared" si="6"/>
        <v>0</v>
      </c>
      <c r="Q25" s="83">
        <f>SUM(E25:P26)</f>
        <v>4208438.779999999</v>
      </c>
      <c r="R25" s="84">
        <f>+Q25/C25</f>
        <v>0.09715370882204752</v>
      </c>
      <c r="S25" s="83">
        <f>SUM(S28:S31)</f>
        <v>23581734.349999998</v>
      </c>
      <c r="T25" s="84">
        <f t="shared" si="1"/>
        <v>0.54439498168458</v>
      </c>
      <c r="U25" s="83">
        <f>+C25+D25-Q25</f>
        <v>39108886.22</v>
      </c>
      <c r="V25" s="81">
        <f>+U25/C25</f>
        <v>0.9028462911779525</v>
      </c>
      <c r="W25" s="3"/>
      <c r="X25" s="3"/>
      <c r="Y25" s="3"/>
      <c r="Z25" s="3"/>
      <c r="AA25" s="3"/>
      <c r="AB25" s="3"/>
      <c r="AC25" s="3"/>
    </row>
    <row r="26" spans="1:29" s="7" customFormat="1" ht="17.25" customHeight="1" hidden="1">
      <c r="A26" s="26" t="s">
        <v>27</v>
      </c>
      <c r="B26" s="6" t="s">
        <v>28</v>
      </c>
      <c r="C26" s="5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59"/>
      <c r="R26" s="59"/>
      <c r="S26" s="60"/>
      <c r="T26" s="60"/>
      <c r="U26" s="59"/>
      <c r="V26" s="59"/>
      <c r="W26" s="3"/>
      <c r="X26" s="3"/>
      <c r="Y26" s="3"/>
      <c r="Z26" s="3"/>
      <c r="AA26" s="3"/>
      <c r="AB26" s="3"/>
      <c r="AC26" s="3"/>
    </row>
    <row r="27" spans="1:29" s="7" customFormat="1" ht="17.25" customHeight="1">
      <c r="A27" s="138" t="s">
        <v>101</v>
      </c>
      <c r="B27" s="27" t="s">
        <v>29</v>
      </c>
      <c r="C27" s="47">
        <v>17040000</v>
      </c>
      <c r="D27" s="48"/>
      <c r="E27" s="48">
        <v>1512848.13</v>
      </c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151">
        <f aca="true" t="shared" si="7" ref="Q27:Q45">SUM(E27:P27)</f>
        <v>1512848.13</v>
      </c>
      <c r="R27" s="152">
        <f aca="true" t="shared" si="8" ref="R27:R32">+Q27/C27</f>
        <v>0.08878216725352112</v>
      </c>
      <c r="S27" s="151">
        <f aca="true" t="shared" si="9" ref="S27:S51">+C27-Q27</f>
        <v>15527151.870000001</v>
      </c>
      <c r="T27" s="152">
        <f aca="true" t="shared" si="10" ref="T27:T51">+S27/C27</f>
        <v>0.9112178327464789</v>
      </c>
      <c r="U27" s="151">
        <f>+C27-Q27</f>
        <v>15527151.870000001</v>
      </c>
      <c r="V27" s="152">
        <f>+U27/C27</f>
        <v>0.9112178327464789</v>
      </c>
      <c r="W27" s="3"/>
      <c r="X27" s="3"/>
      <c r="Y27" s="3"/>
      <c r="Z27" s="3"/>
      <c r="AA27" s="3"/>
      <c r="AB27" s="3"/>
      <c r="AC27" s="3"/>
    </row>
    <row r="28" spans="1:29" s="7" customFormat="1" ht="15">
      <c r="A28" s="138" t="s">
        <v>102</v>
      </c>
      <c r="B28" s="27" t="s">
        <v>30</v>
      </c>
      <c r="C28" s="47">
        <v>7050000</v>
      </c>
      <c r="D28" s="48"/>
      <c r="E28" s="48">
        <v>606599.71</v>
      </c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151">
        <f t="shared" si="7"/>
        <v>606599.71</v>
      </c>
      <c r="R28" s="152">
        <f t="shared" si="8"/>
        <v>0.08604251205673759</v>
      </c>
      <c r="S28" s="151">
        <f t="shared" si="9"/>
        <v>6443400.29</v>
      </c>
      <c r="T28" s="152">
        <f t="shared" si="10"/>
        <v>0.9139574879432624</v>
      </c>
      <c r="U28" s="151">
        <f>+C28-Q28</f>
        <v>6443400.29</v>
      </c>
      <c r="V28" s="152">
        <f>+U28/C28</f>
        <v>0.9139574879432624</v>
      </c>
      <c r="W28" s="3"/>
      <c r="X28" s="3"/>
      <c r="Y28" s="3"/>
      <c r="Z28" s="3"/>
      <c r="AA28" s="3"/>
      <c r="AB28" s="3"/>
      <c r="AC28" s="3"/>
    </row>
    <row r="29" spans="1:29" s="7" customFormat="1" ht="15">
      <c r="A29" s="138" t="s">
        <v>276</v>
      </c>
      <c r="B29" s="27" t="s">
        <v>274</v>
      </c>
      <c r="C29" s="47">
        <v>18950125</v>
      </c>
      <c r="D29" s="48"/>
      <c r="E29" s="48">
        <v>2075866.94</v>
      </c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151">
        <f t="shared" si="7"/>
        <v>2075866.94</v>
      </c>
      <c r="R29" s="152">
        <f t="shared" si="8"/>
        <v>0.10954370696763213</v>
      </c>
      <c r="S29" s="151">
        <f t="shared" si="9"/>
        <v>16874258.06</v>
      </c>
      <c r="T29" s="152">
        <f t="shared" si="10"/>
        <v>0.8904562930323678</v>
      </c>
      <c r="U29" s="151">
        <f>+C29-Q29</f>
        <v>16874258.06</v>
      </c>
      <c r="V29" s="152">
        <f>+U29/C29</f>
        <v>0.8904562930323678</v>
      </c>
      <c r="W29" s="3"/>
      <c r="X29" s="3"/>
      <c r="Y29" s="3"/>
      <c r="Z29" s="3"/>
      <c r="AA29" s="3"/>
      <c r="AB29" s="3"/>
      <c r="AC29" s="3"/>
    </row>
    <row r="30" spans="1:29" s="7" customFormat="1" ht="15">
      <c r="A30" s="138" t="s">
        <v>103</v>
      </c>
      <c r="B30" s="27" t="s">
        <v>31</v>
      </c>
      <c r="C30" s="47">
        <v>258000</v>
      </c>
      <c r="D30" s="48"/>
      <c r="E30" s="48">
        <v>11624</v>
      </c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151">
        <f t="shared" si="7"/>
        <v>11624</v>
      </c>
      <c r="R30" s="152">
        <f t="shared" si="8"/>
        <v>0.04505426356589147</v>
      </c>
      <c r="S30" s="151">
        <f t="shared" si="9"/>
        <v>246376</v>
      </c>
      <c r="T30" s="152">
        <f t="shared" si="10"/>
        <v>0.9549457364341085</v>
      </c>
      <c r="U30" s="151">
        <f>+C30-Q30</f>
        <v>246376</v>
      </c>
      <c r="V30" s="152">
        <f aca="true" t="shared" si="11" ref="V30:V38">+U30/C30</f>
        <v>0.9549457364341085</v>
      </c>
      <c r="W30" s="3"/>
      <c r="X30" s="3"/>
      <c r="Y30" s="3"/>
      <c r="Z30" s="3"/>
      <c r="AA30" s="3"/>
      <c r="AB30" s="3"/>
      <c r="AC30" s="3"/>
    </row>
    <row r="31" spans="1:29" s="7" customFormat="1" ht="15">
      <c r="A31" s="138" t="s">
        <v>104</v>
      </c>
      <c r="B31" s="27" t="s">
        <v>32</v>
      </c>
      <c r="C31" s="47">
        <v>19200</v>
      </c>
      <c r="D31" s="48"/>
      <c r="E31" s="48">
        <v>1500</v>
      </c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151">
        <f t="shared" si="7"/>
        <v>1500</v>
      </c>
      <c r="R31" s="152">
        <f t="shared" si="8"/>
        <v>0.078125</v>
      </c>
      <c r="S31" s="151">
        <f t="shared" si="9"/>
        <v>17700</v>
      </c>
      <c r="T31" s="152">
        <f t="shared" si="10"/>
        <v>0.921875</v>
      </c>
      <c r="U31" s="151">
        <f>+C31-Q31</f>
        <v>17700</v>
      </c>
      <c r="V31" s="152">
        <f t="shared" si="11"/>
        <v>0.921875</v>
      </c>
      <c r="W31" s="3"/>
      <c r="X31" s="3"/>
      <c r="Y31" s="3"/>
      <c r="Z31" s="3"/>
      <c r="AA31" s="3"/>
      <c r="AB31" s="3"/>
      <c r="AC31" s="3"/>
    </row>
    <row r="32" spans="1:29" s="7" customFormat="1" ht="15">
      <c r="A32" s="23" t="s">
        <v>33</v>
      </c>
      <c r="B32" s="8" t="s">
        <v>34</v>
      </c>
      <c r="C32" s="79">
        <f>SUM(C33:C33)</f>
        <v>558000</v>
      </c>
      <c r="D32" s="79"/>
      <c r="E32" s="79">
        <f aca="true" t="shared" si="12" ref="E32:P32">SUM(E33:E33)</f>
        <v>0</v>
      </c>
      <c r="F32" s="79">
        <f t="shared" si="12"/>
        <v>0</v>
      </c>
      <c r="G32" s="79">
        <f t="shared" si="12"/>
        <v>0</v>
      </c>
      <c r="H32" s="79">
        <f t="shared" si="12"/>
        <v>0</v>
      </c>
      <c r="I32" s="79">
        <f t="shared" si="12"/>
        <v>0</v>
      </c>
      <c r="J32" s="79">
        <f t="shared" si="12"/>
        <v>0</v>
      </c>
      <c r="K32" s="79">
        <f t="shared" si="12"/>
        <v>0</v>
      </c>
      <c r="L32" s="79">
        <f t="shared" si="12"/>
        <v>0</v>
      </c>
      <c r="M32" s="79">
        <f t="shared" si="12"/>
        <v>0</v>
      </c>
      <c r="N32" s="79">
        <f t="shared" si="12"/>
        <v>0</v>
      </c>
      <c r="O32" s="79">
        <f t="shared" si="12"/>
        <v>0</v>
      </c>
      <c r="P32" s="79">
        <f t="shared" si="12"/>
        <v>0</v>
      </c>
      <c r="Q32" s="83">
        <f aca="true" t="shared" si="13" ref="Q32:Q37">SUM(E32:P32)</f>
        <v>0</v>
      </c>
      <c r="R32" s="84">
        <f t="shared" si="8"/>
        <v>0</v>
      </c>
      <c r="S32" s="83">
        <f t="shared" si="9"/>
        <v>558000</v>
      </c>
      <c r="T32" s="84">
        <f t="shared" si="10"/>
        <v>1</v>
      </c>
      <c r="U32" s="83">
        <f>+C32+D32-Q32</f>
        <v>558000</v>
      </c>
      <c r="V32" s="81">
        <f>+U32/C32</f>
        <v>1</v>
      </c>
      <c r="W32" s="3"/>
      <c r="X32" s="3"/>
      <c r="Y32" s="3"/>
      <c r="Z32" s="3"/>
      <c r="AA32" s="3"/>
      <c r="AB32" s="3"/>
      <c r="AC32" s="3"/>
    </row>
    <row r="33" spans="1:29" s="7" customFormat="1" ht="15">
      <c r="A33" s="138" t="s">
        <v>105</v>
      </c>
      <c r="B33" s="27" t="s">
        <v>35</v>
      </c>
      <c r="C33" s="47">
        <v>558000</v>
      </c>
      <c r="D33" s="48"/>
      <c r="E33" s="48">
        <v>0</v>
      </c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151">
        <f t="shared" si="7"/>
        <v>0</v>
      </c>
      <c r="R33" s="152">
        <f>+Q33/(D33+C33)</f>
        <v>0</v>
      </c>
      <c r="S33" s="151">
        <f t="shared" si="9"/>
        <v>558000</v>
      </c>
      <c r="T33" s="152">
        <f t="shared" si="10"/>
        <v>1</v>
      </c>
      <c r="U33" s="151">
        <f>+C33+D33-Q33</f>
        <v>558000</v>
      </c>
      <c r="V33" s="152">
        <f t="shared" si="11"/>
        <v>1</v>
      </c>
      <c r="W33" s="3"/>
      <c r="X33" s="3"/>
      <c r="Y33" s="3"/>
      <c r="Z33" s="3"/>
      <c r="AA33" s="3"/>
      <c r="AB33" s="3"/>
      <c r="AC33" s="3"/>
    </row>
    <row r="34" spans="1:29" s="7" customFormat="1" ht="15">
      <c r="A34" s="23" t="s">
        <v>36</v>
      </c>
      <c r="B34" s="8" t="s">
        <v>37</v>
      </c>
      <c r="C34" s="79">
        <f>SUM(C35:C36)</f>
        <v>5515200</v>
      </c>
      <c r="D34" s="79"/>
      <c r="E34" s="79">
        <f aca="true" t="shared" si="14" ref="E34:P34">SUM(E35:E36)</f>
        <v>669020</v>
      </c>
      <c r="F34" s="79">
        <f t="shared" si="14"/>
        <v>0</v>
      </c>
      <c r="G34" s="79">
        <f t="shared" si="14"/>
        <v>0</v>
      </c>
      <c r="H34" s="79">
        <f t="shared" si="14"/>
        <v>0</v>
      </c>
      <c r="I34" s="79">
        <f t="shared" si="14"/>
        <v>0</v>
      </c>
      <c r="J34" s="79">
        <f t="shared" si="14"/>
        <v>0</v>
      </c>
      <c r="K34" s="79">
        <f t="shared" si="14"/>
        <v>0</v>
      </c>
      <c r="L34" s="79">
        <f t="shared" si="14"/>
        <v>0</v>
      </c>
      <c r="M34" s="79">
        <f t="shared" si="14"/>
        <v>0</v>
      </c>
      <c r="N34" s="79">
        <f t="shared" si="14"/>
        <v>0</v>
      </c>
      <c r="O34" s="79">
        <f t="shared" si="14"/>
        <v>0</v>
      </c>
      <c r="P34" s="79">
        <f t="shared" si="14"/>
        <v>0</v>
      </c>
      <c r="Q34" s="83">
        <f t="shared" si="13"/>
        <v>669020</v>
      </c>
      <c r="R34" s="84">
        <f aca="true" t="shared" si="15" ref="R34:R40">+Q34/C34</f>
        <v>0.12130475776037133</v>
      </c>
      <c r="S34" s="83">
        <f t="shared" si="9"/>
        <v>4846180</v>
      </c>
      <c r="T34" s="84">
        <f t="shared" si="10"/>
        <v>0.8786952422396287</v>
      </c>
      <c r="U34" s="83">
        <f>+U35+U36</f>
        <v>4846180</v>
      </c>
      <c r="V34" s="84">
        <f t="shared" si="11"/>
        <v>0.8786952422396287</v>
      </c>
      <c r="W34" s="3"/>
      <c r="X34" s="3"/>
      <c r="Y34" s="3"/>
      <c r="Z34" s="3"/>
      <c r="AA34" s="3"/>
      <c r="AB34" s="3"/>
      <c r="AC34" s="3"/>
    </row>
    <row r="35" spans="1:29" s="7" customFormat="1" ht="15">
      <c r="A35" s="138" t="s">
        <v>106</v>
      </c>
      <c r="B35" s="27" t="s">
        <v>38</v>
      </c>
      <c r="C35" s="47">
        <v>4866000</v>
      </c>
      <c r="D35" s="48"/>
      <c r="E35" s="48">
        <v>669020</v>
      </c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151">
        <f t="shared" si="7"/>
        <v>669020</v>
      </c>
      <c r="R35" s="152">
        <f t="shared" si="15"/>
        <v>0.13748869708179204</v>
      </c>
      <c r="S35" s="151">
        <f t="shared" si="9"/>
        <v>4196980</v>
      </c>
      <c r="T35" s="152">
        <f t="shared" si="10"/>
        <v>0.862511302918208</v>
      </c>
      <c r="U35" s="151">
        <f>+C35-Q35</f>
        <v>4196980</v>
      </c>
      <c r="V35" s="152">
        <f t="shared" si="11"/>
        <v>0.862511302918208</v>
      </c>
      <c r="W35" s="3"/>
      <c r="X35" s="3"/>
      <c r="Y35" s="3"/>
      <c r="Z35" s="3"/>
      <c r="AA35" s="3"/>
      <c r="AB35" s="3"/>
      <c r="AC35" s="3"/>
    </row>
    <row r="36" spans="1:29" s="7" customFormat="1" ht="15">
      <c r="A36" s="138" t="s">
        <v>107</v>
      </c>
      <c r="B36" s="27" t="s">
        <v>39</v>
      </c>
      <c r="C36" s="47">
        <v>649200</v>
      </c>
      <c r="D36" s="48"/>
      <c r="E36" s="48">
        <v>0</v>
      </c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151">
        <f t="shared" si="7"/>
        <v>0</v>
      </c>
      <c r="R36" s="152">
        <f t="shared" si="15"/>
        <v>0</v>
      </c>
      <c r="S36" s="151">
        <f t="shared" si="9"/>
        <v>649200</v>
      </c>
      <c r="T36" s="152">
        <f t="shared" si="10"/>
        <v>1</v>
      </c>
      <c r="U36" s="151">
        <f>+C36-Q36</f>
        <v>649200</v>
      </c>
      <c r="V36" s="152">
        <f t="shared" si="11"/>
        <v>1</v>
      </c>
      <c r="W36" s="3"/>
      <c r="X36" s="3"/>
      <c r="Y36" s="3"/>
      <c r="Z36" s="3"/>
      <c r="AA36" s="3"/>
      <c r="AB36" s="3"/>
      <c r="AC36" s="3"/>
    </row>
    <row r="37" spans="1:29" s="7" customFormat="1" ht="15">
      <c r="A37" s="23" t="s">
        <v>40</v>
      </c>
      <c r="B37" s="8" t="s">
        <v>41</v>
      </c>
      <c r="C37" s="79">
        <f>+C38</f>
        <v>556000</v>
      </c>
      <c r="D37" s="79"/>
      <c r="E37" s="79">
        <f>+E38</f>
        <v>50000</v>
      </c>
      <c r="F37" s="79">
        <f aca="true" t="shared" si="16" ref="F37:P37">+F38</f>
        <v>0</v>
      </c>
      <c r="G37" s="79">
        <f t="shared" si="16"/>
        <v>0</v>
      </c>
      <c r="H37" s="79">
        <f t="shared" si="16"/>
        <v>0</v>
      </c>
      <c r="I37" s="79">
        <f t="shared" si="16"/>
        <v>0</v>
      </c>
      <c r="J37" s="79">
        <f t="shared" si="16"/>
        <v>0</v>
      </c>
      <c r="K37" s="79">
        <f t="shared" si="16"/>
        <v>0</v>
      </c>
      <c r="L37" s="79">
        <f t="shared" si="16"/>
        <v>0</v>
      </c>
      <c r="M37" s="79">
        <f t="shared" si="16"/>
        <v>0</v>
      </c>
      <c r="N37" s="79">
        <f t="shared" si="16"/>
        <v>0</v>
      </c>
      <c r="O37" s="79">
        <f t="shared" si="16"/>
        <v>0</v>
      </c>
      <c r="P37" s="79">
        <f t="shared" si="16"/>
        <v>0</v>
      </c>
      <c r="Q37" s="83">
        <f t="shared" si="13"/>
        <v>50000</v>
      </c>
      <c r="R37" s="84">
        <f>+Q37/C37</f>
        <v>0.08992805755395683</v>
      </c>
      <c r="S37" s="83">
        <f>+C37-Q37</f>
        <v>506000</v>
      </c>
      <c r="T37" s="84">
        <f>+S37/C37</f>
        <v>0.9100719424460432</v>
      </c>
      <c r="U37" s="83">
        <f>+C37+D37-Q37</f>
        <v>506000</v>
      </c>
      <c r="V37" s="81">
        <f>+U37/C37</f>
        <v>0.9100719424460432</v>
      </c>
      <c r="W37" s="3"/>
      <c r="X37" s="3"/>
      <c r="Y37" s="3"/>
      <c r="Z37" s="3"/>
      <c r="AA37" s="3"/>
      <c r="AB37" s="3"/>
      <c r="AC37" s="3"/>
    </row>
    <row r="38" spans="1:29" s="7" customFormat="1" ht="15">
      <c r="A38" s="138" t="s">
        <v>108</v>
      </c>
      <c r="B38" s="27" t="s">
        <v>174</v>
      </c>
      <c r="C38" s="47">
        <f>576000-20000</f>
        <v>556000</v>
      </c>
      <c r="D38" s="48"/>
      <c r="E38" s="48">
        <v>50000</v>
      </c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151">
        <f t="shared" si="7"/>
        <v>50000</v>
      </c>
      <c r="R38" s="152">
        <f t="shared" si="15"/>
        <v>0.08992805755395683</v>
      </c>
      <c r="S38" s="151">
        <f t="shared" si="9"/>
        <v>506000</v>
      </c>
      <c r="T38" s="152">
        <f t="shared" si="10"/>
        <v>0.9100719424460432</v>
      </c>
      <c r="U38" s="151">
        <f>+C38-Q38</f>
        <v>506000</v>
      </c>
      <c r="V38" s="152">
        <f t="shared" si="11"/>
        <v>0.9100719424460432</v>
      </c>
      <c r="W38" s="3"/>
      <c r="X38" s="3"/>
      <c r="Y38" s="3"/>
      <c r="Z38" s="3"/>
      <c r="AA38" s="3"/>
      <c r="AB38" s="3"/>
      <c r="AC38" s="3"/>
    </row>
    <row r="39" spans="1:29" s="7" customFormat="1" ht="15">
      <c r="A39" s="23" t="s">
        <v>42</v>
      </c>
      <c r="B39" s="8" t="s">
        <v>43</v>
      </c>
      <c r="C39" s="79">
        <f>+C40+C41</f>
        <v>11040000</v>
      </c>
      <c r="D39" s="79"/>
      <c r="E39" s="79">
        <f aca="true" t="shared" si="17" ref="E39:P39">+E40+E41</f>
        <v>765777.17</v>
      </c>
      <c r="F39" s="79">
        <f t="shared" si="17"/>
        <v>0</v>
      </c>
      <c r="G39" s="79">
        <f t="shared" si="17"/>
        <v>0</v>
      </c>
      <c r="H39" s="79">
        <f t="shared" si="17"/>
        <v>0</v>
      </c>
      <c r="I39" s="79">
        <f t="shared" si="17"/>
        <v>0</v>
      </c>
      <c r="J39" s="79">
        <f t="shared" si="17"/>
        <v>0</v>
      </c>
      <c r="K39" s="79">
        <f t="shared" si="17"/>
        <v>0</v>
      </c>
      <c r="L39" s="79">
        <f t="shared" si="17"/>
        <v>0</v>
      </c>
      <c r="M39" s="79">
        <f t="shared" si="17"/>
        <v>0</v>
      </c>
      <c r="N39" s="79">
        <f t="shared" si="17"/>
        <v>0</v>
      </c>
      <c r="O39" s="79">
        <f t="shared" si="17"/>
        <v>0</v>
      </c>
      <c r="P39" s="79">
        <f t="shared" si="17"/>
        <v>0</v>
      </c>
      <c r="Q39" s="83">
        <f>SUM(E39:P39)</f>
        <v>765777.17</v>
      </c>
      <c r="R39" s="84">
        <f t="shared" si="15"/>
        <v>0.0693638740942029</v>
      </c>
      <c r="S39" s="83">
        <f t="shared" si="9"/>
        <v>10274222.83</v>
      </c>
      <c r="T39" s="84">
        <f t="shared" si="10"/>
        <v>0.9306361259057971</v>
      </c>
      <c r="U39" s="83">
        <f>+C39+D39-Q39</f>
        <v>10274222.83</v>
      </c>
      <c r="V39" s="81">
        <f>+U39/C39</f>
        <v>0.9306361259057971</v>
      </c>
      <c r="W39" s="3"/>
      <c r="X39" s="3"/>
      <c r="Y39" s="3"/>
      <c r="Z39" s="3"/>
      <c r="AA39" s="3"/>
      <c r="AB39" s="3"/>
      <c r="AC39" s="3"/>
    </row>
    <row r="40" spans="1:29" s="7" customFormat="1" ht="15">
      <c r="A40" s="138" t="s">
        <v>109</v>
      </c>
      <c r="B40" s="27" t="s">
        <v>44</v>
      </c>
      <c r="C40" s="47">
        <v>10440000</v>
      </c>
      <c r="D40" s="48"/>
      <c r="E40" s="48">
        <v>765777.17</v>
      </c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151">
        <f t="shared" si="7"/>
        <v>765777.17</v>
      </c>
      <c r="R40" s="152">
        <f t="shared" si="15"/>
        <v>0.07335030363984675</v>
      </c>
      <c r="S40" s="151">
        <f t="shared" si="9"/>
        <v>9674222.83</v>
      </c>
      <c r="T40" s="152">
        <f t="shared" si="10"/>
        <v>0.9266496963601533</v>
      </c>
      <c r="U40" s="151">
        <f>+C40-Q40</f>
        <v>9674222.83</v>
      </c>
      <c r="V40" s="152">
        <f>+U40/C40</f>
        <v>0.9266496963601533</v>
      </c>
      <c r="W40" s="3"/>
      <c r="X40" s="3"/>
      <c r="Y40" s="3"/>
      <c r="Z40" s="3"/>
      <c r="AA40" s="3"/>
      <c r="AB40" s="3"/>
      <c r="AC40" s="3"/>
    </row>
    <row r="41" spans="1:29" s="7" customFormat="1" ht="15">
      <c r="A41" s="138" t="s">
        <v>110</v>
      </c>
      <c r="B41" s="27" t="s">
        <v>277</v>
      </c>
      <c r="C41" s="47">
        <v>600000</v>
      </c>
      <c r="D41" s="48"/>
      <c r="E41" s="48">
        <v>0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151">
        <f t="shared" si="7"/>
        <v>0</v>
      </c>
      <c r="R41" s="152">
        <v>0</v>
      </c>
      <c r="S41" s="151">
        <f t="shared" si="9"/>
        <v>600000</v>
      </c>
      <c r="T41" s="152">
        <f t="shared" si="10"/>
        <v>1</v>
      </c>
      <c r="U41" s="151">
        <f>+C41-Q41</f>
        <v>600000</v>
      </c>
      <c r="V41" s="152">
        <v>0</v>
      </c>
      <c r="W41" s="3"/>
      <c r="X41" s="3"/>
      <c r="Y41" s="3"/>
      <c r="Z41" s="3"/>
      <c r="AA41" s="3"/>
      <c r="AB41" s="3"/>
      <c r="AC41" s="3"/>
    </row>
    <row r="42" spans="1:29" s="7" customFormat="1" ht="15">
      <c r="A42" s="23" t="s">
        <v>45</v>
      </c>
      <c r="B42" s="8" t="s">
        <v>46</v>
      </c>
      <c r="C42" s="79">
        <f>+C43</f>
        <v>5520000</v>
      </c>
      <c r="D42" s="79"/>
      <c r="E42" s="79">
        <f aca="true" t="shared" si="18" ref="E42:P42">+E43</f>
        <v>1049479.49</v>
      </c>
      <c r="F42" s="79">
        <f t="shared" si="18"/>
        <v>0</v>
      </c>
      <c r="G42" s="79">
        <f t="shared" si="18"/>
        <v>0</v>
      </c>
      <c r="H42" s="79">
        <f t="shared" si="18"/>
        <v>0</v>
      </c>
      <c r="I42" s="79">
        <f t="shared" si="18"/>
        <v>0</v>
      </c>
      <c r="J42" s="79">
        <f t="shared" si="18"/>
        <v>0</v>
      </c>
      <c r="K42" s="79">
        <f t="shared" si="18"/>
        <v>0</v>
      </c>
      <c r="L42" s="79">
        <f t="shared" si="18"/>
        <v>0</v>
      </c>
      <c r="M42" s="79">
        <f t="shared" si="18"/>
        <v>0</v>
      </c>
      <c r="N42" s="79">
        <f t="shared" si="18"/>
        <v>0</v>
      </c>
      <c r="O42" s="79">
        <f t="shared" si="18"/>
        <v>0</v>
      </c>
      <c r="P42" s="79">
        <f t="shared" si="18"/>
        <v>0</v>
      </c>
      <c r="Q42" s="83">
        <f>SUM(E42:P42)</f>
        <v>1049479.49</v>
      </c>
      <c r="R42" s="84">
        <f aca="true" t="shared" si="19" ref="R42:R51">+Q42/C42</f>
        <v>0.19012309601449276</v>
      </c>
      <c r="S42" s="83">
        <f t="shared" si="9"/>
        <v>4470520.51</v>
      </c>
      <c r="T42" s="84">
        <f t="shared" si="10"/>
        <v>0.8098769039855072</v>
      </c>
      <c r="U42" s="83">
        <f>+C42+D42-Q42</f>
        <v>4470520.51</v>
      </c>
      <c r="V42" s="81">
        <f>+U42/C42</f>
        <v>0.8098769039855072</v>
      </c>
      <c r="W42" s="135">
        <f>+Q42/C42</f>
        <v>0.19012309601449276</v>
      </c>
      <c r="X42" s="3"/>
      <c r="Y42" s="3"/>
      <c r="Z42" s="3"/>
      <c r="AA42" s="3"/>
      <c r="AB42" s="3"/>
      <c r="AC42" s="3"/>
    </row>
    <row r="43" spans="1:29" s="7" customFormat="1" ht="15">
      <c r="A43" s="138" t="s">
        <v>111</v>
      </c>
      <c r="B43" s="27" t="s">
        <v>47</v>
      </c>
      <c r="C43" s="47">
        <v>5520000</v>
      </c>
      <c r="D43" s="50"/>
      <c r="E43" s="50">
        <v>1049479.49</v>
      </c>
      <c r="F43" s="51"/>
      <c r="G43" s="51"/>
      <c r="H43" s="51"/>
      <c r="I43" s="47"/>
      <c r="J43" s="47"/>
      <c r="K43" s="47"/>
      <c r="L43" s="47"/>
      <c r="M43" s="47"/>
      <c r="N43" s="47"/>
      <c r="O43" s="47"/>
      <c r="P43" s="47"/>
      <c r="Q43" s="151">
        <f t="shared" si="7"/>
        <v>1049479.49</v>
      </c>
      <c r="R43" s="152">
        <f t="shared" si="19"/>
        <v>0.19012309601449276</v>
      </c>
      <c r="S43" s="151">
        <f t="shared" si="9"/>
        <v>4470520.51</v>
      </c>
      <c r="T43" s="152">
        <f t="shared" si="10"/>
        <v>0.8098769039855072</v>
      </c>
      <c r="U43" s="151">
        <f>+C43-Q43</f>
        <v>4470520.51</v>
      </c>
      <c r="V43" s="152">
        <f aca="true" t="shared" si="20" ref="V42:V51">+U43/C43</f>
        <v>0.8098769039855072</v>
      </c>
      <c r="W43" s="3"/>
      <c r="X43" s="3"/>
      <c r="Y43" s="3"/>
      <c r="Z43" s="3"/>
      <c r="AA43" s="3"/>
      <c r="AB43" s="3"/>
      <c r="AC43" s="3"/>
    </row>
    <row r="44" spans="1:29" s="7" customFormat="1" ht="30">
      <c r="A44" s="143" t="s">
        <v>48</v>
      </c>
      <c r="B44" s="45" t="s">
        <v>291</v>
      </c>
      <c r="C44" s="79">
        <f>+C45</f>
        <v>20000</v>
      </c>
      <c r="D44" s="79"/>
      <c r="E44" s="79">
        <f>+E45</f>
        <v>6695</v>
      </c>
      <c r="F44" s="79">
        <f aca="true" t="shared" si="21" ref="F44:P44">+F45</f>
        <v>0</v>
      </c>
      <c r="G44" s="79">
        <f t="shared" si="21"/>
        <v>0</v>
      </c>
      <c r="H44" s="79">
        <f t="shared" si="21"/>
        <v>0</v>
      </c>
      <c r="I44" s="79">
        <f t="shared" si="21"/>
        <v>0</v>
      </c>
      <c r="J44" s="79">
        <f t="shared" si="21"/>
        <v>0</v>
      </c>
      <c r="K44" s="79">
        <f t="shared" si="21"/>
        <v>0</v>
      </c>
      <c r="L44" s="79">
        <f t="shared" si="21"/>
        <v>0</v>
      </c>
      <c r="M44" s="79">
        <f t="shared" si="21"/>
        <v>0</v>
      </c>
      <c r="N44" s="79">
        <f t="shared" si="21"/>
        <v>0</v>
      </c>
      <c r="O44" s="79">
        <f t="shared" si="21"/>
        <v>0</v>
      </c>
      <c r="P44" s="79">
        <f t="shared" si="21"/>
        <v>0</v>
      </c>
      <c r="Q44" s="83">
        <f>SUM(E44:O44)</f>
        <v>6695</v>
      </c>
      <c r="R44" s="84">
        <f t="shared" si="19"/>
        <v>0.33475</v>
      </c>
      <c r="S44" s="83">
        <f t="shared" si="9"/>
        <v>13305</v>
      </c>
      <c r="T44" s="84">
        <f t="shared" si="10"/>
        <v>0.66525</v>
      </c>
      <c r="U44" s="83">
        <f>+C44+D44-Q44</f>
        <v>13305</v>
      </c>
      <c r="V44" s="81">
        <f>+U44/C44</f>
        <v>0.66525</v>
      </c>
      <c r="W44" s="3"/>
      <c r="X44" s="3"/>
      <c r="Y44" s="3"/>
      <c r="Z44" s="3"/>
      <c r="AA44" s="3"/>
      <c r="AB44" s="3"/>
      <c r="AC44" s="3"/>
    </row>
    <row r="45" spans="1:29" s="11" customFormat="1" ht="30">
      <c r="A45" s="130" t="s">
        <v>112</v>
      </c>
      <c r="B45" s="36" t="s">
        <v>290</v>
      </c>
      <c r="C45" s="47">
        <v>20000</v>
      </c>
      <c r="D45" s="48"/>
      <c r="E45" s="48">
        <v>6695</v>
      </c>
      <c r="F45" s="48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151">
        <f t="shared" si="7"/>
        <v>6695</v>
      </c>
      <c r="R45" s="152">
        <f t="shared" si="19"/>
        <v>0.33475</v>
      </c>
      <c r="S45" s="151">
        <f t="shared" si="9"/>
        <v>13305</v>
      </c>
      <c r="T45" s="152">
        <f t="shared" si="10"/>
        <v>0.66525</v>
      </c>
      <c r="U45" s="151">
        <f aca="true" t="shared" si="22" ref="U45:U50">+C45-Q45</f>
        <v>13305</v>
      </c>
      <c r="V45" s="152">
        <f t="shared" si="20"/>
        <v>0.66525</v>
      </c>
      <c r="W45" s="10"/>
      <c r="X45" s="10"/>
      <c r="Y45" s="10"/>
      <c r="Z45" s="10"/>
      <c r="AA45" s="10"/>
      <c r="AB45" s="10"/>
      <c r="AC45" s="10"/>
    </row>
    <row r="46" spans="1:29" s="7" customFormat="1" ht="17.25" customHeight="1" hidden="1">
      <c r="A46" s="43"/>
      <c r="B46" s="29"/>
      <c r="C46" s="48"/>
      <c r="D46" s="48"/>
      <c r="E46" s="48"/>
      <c r="F46" s="48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53">
        <f aca="true" t="shared" si="23" ref="Q45:Q50">SUM(E46:P46)</f>
        <v>0</v>
      </c>
      <c r="R46" s="54" t="e">
        <f t="shared" si="19"/>
        <v>#DIV/0!</v>
      </c>
      <c r="S46" s="55">
        <f t="shared" si="9"/>
        <v>0</v>
      </c>
      <c r="T46" s="56" t="e">
        <f t="shared" si="10"/>
        <v>#DIV/0!</v>
      </c>
      <c r="U46" s="53">
        <f t="shared" si="22"/>
        <v>0</v>
      </c>
      <c r="V46" s="54" t="e">
        <f t="shared" si="20"/>
        <v>#DIV/0!</v>
      </c>
      <c r="W46" s="3"/>
      <c r="X46" s="3"/>
      <c r="Y46" s="3"/>
      <c r="Z46" s="3"/>
      <c r="AA46" s="3"/>
      <c r="AB46" s="3"/>
      <c r="AC46" s="3"/>
    </row>
    <row r="47" spans="1:29" s="2" customFormat="1" ht="17.25" customHeight="1">
      <c r="A47" s="23" t="s">
        <v>49</v>
      </c>
      <c r="B47" s="8" t="s">
        <v>292</v>
      </c>
      <c r="C47" s="79">
        <f>+C48+C49+C50</f>
        <v>1000000</v>
      </c>
      <c r="D47" s="79"/>
      <c r="E47" s="79">
        <f>+E48+E49+E50</f>
        <v>786993.87</v>
      </c>
      <c r="F47" s="79">
        <f aca="true" t="shared" si="24" ref="F47:P47">+F48</f>
        <v>0</v>
      </c>
      <c r="G47" s="79">
        <f t="shared" si="24"/>
        <v>0</v>
      </c>
      <c r="H47" s="79">
        <f t="shared" si="24"/>
        <v>0</v>
      </c>
      <c r="I47" s="79">
        <f t="shared" si="24"/>
        <v>0</v>
      </c>
      <c r="J47" s="79">
        <f t="shared" si="24"/>
        <v>0</v>
      </c>
      <c r="K47" s="79">
        <f t="shared" si="24"/>
        <v>0</v>
      </c>
      <c r="L47" s="79">
        <f t="shared" si="24"/>
        <v>0</v>
      </c>
      <c r="M47" s="79">
        <f t="shared" si="24"/>
        <v>0</v>
      </c>
      <c r="N47" s="79">
        <f t="shared" si="24"/>
        <v>0</v>
      </c>
      <c r="O47" s="79">
        <f t="shared" si="24"/>
        <v>0</v>
      </c>
      <c r="P47" s="79">
        <f t="shared" si="24"/>
        <v>0</v>
      </c>
      <c r="Q47" s="150">
        <f t="shared" si="23"/>
        <v>786993.87</v>
      </c>
      <c r="R47" s="85">
        <f t="shared" si="19"/>
        <v>0.78699387</v>
      </c>
      <c r="S47" s="150">
        <f>+C47-Q47</f>
        <v>213006.13</v>
      </c>
      <c r="T47" s="85">
        <f>+S47/C47</f>
        <v>0.21300613000000002</v>
      </c>
      <c r="U47" s="83">
        <f>+C47+D47-Q47</f>
        <v>213006.13</v>
      </c>
      <c r="V47" s="81">
        <f>+U47/C47</f>
        <v>0.21300613000000002</v>
      </c>
      <c r="W47" s="3"/>
      <c r="X47" s="3"/>
      <c r="Y47" s="3"/>
      <c r="Z47" s="3"/>
      <c r="AA47" s="3"/>
      <c r="AB47" s="3"/>
      <c r="AC47" s="3"/>
    </row>
    <row r="48" spans="1:29" s="2" customFormat="1" ht="17.25" customHeight="1">
      <c r="A48" s="144" t="s">
        <v>113</v>
      </c>
      <c r="B48" s="46" t="s">
        <v>293</v>
      </c>
      <c r="C48" s="47">
        <v>200000</v>
      </c>
      <c r="D48" s="48"/>
      <c r="E48" s="48">
        <v>154770.06</v>
      </c>
      <c r="F48" s="48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151">
        <f>SUM(E48:P48)</f>
        <v>154770.06</v>
      </c>
      <c r="R48" s="152">
        <f t="shared" si="19"/>
        <v>0.7738503</v>
      </c>
      <c r="S48" s="151">
        <f>+C48-Q48</f>
        <v>45229.94</v>
      </c>
      <c r="T48" s="152">
        <f>+S48/C48</f>
        <v>0.2261497</v>
      </c>
      <c r="U48" s="151">
        <f t="shared" si="22"/>
        <v>45229.94</v>
      </c>
      <c r="V48" s="152">
        <f>+U48/C48</f>
        <v>0.2261497</v>
      </c>
      <c r="W48" s="3"/>
      <c r="X48" s="3"/>
      <c r="Y48" s="3"/>
      <c r="Z48" s="3"/>
      <c r="AA48" s="3"/>
      <c r="AB48" s="3"/>
      <c r="AC48" s="3"/>
    </row>
    <row r="49" spans="1:29" s="2" customFormat="1" ht="17.25" customHeight="1">
      <c r="A49" s="144" t="s">
        <v>114</v>
      </c>
      <c r="B49" s="29" t="s">
        <v>294</v>
      </c>
      <c r="C49" s="48">
        <v>200000</v>
      </c>
      <c r="D49" s="48"/>
      <c r="E49" s="48">
        <v>109533.5</v>
      </c>
      <c r="F49" s="48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151">
        <f>SUM(E49:P49)</f>
        <v>109533.5</v>
      </c>
      <c r="R49" s="152">
        <f t="shared" si="19"/>
        <v>0.5476675</v>
      </c>
      <c r="S49" s="151">
        <f>+C49-Q49</f>
        <v>90466.5</v>
      </c>
      <c r="T49" s="152">
        <f>+S49/C49</f>
        <v>0.4523325</v>
      </c>
      <c r="U49" s="151">
        <f t="shared" si="22"/>
        <v>90466.5</v>
      </c>
      <c r="V49" s="152">
        <f>+U49/C49</f>
        <v>0.4523325</v>
      </c>
      <c r="W49" s="3"/>
      <c r="X49" s="3"/>
      <c r="Y49" s="3"/>
      <c r="Z49" s="3"/>
      <c r="AA49" s="3"/>
      <c r="AB49" s="3"/>
      <c r="AC49" s="3"/>
    </row>
    <row r="50" spans="1:29" s="2" customFormat="1" ht="17.25" customHeight="1">
      <c r="A50" s="144" t="s">
        <v>133</v>
      </c>
      <c r="B50" s="29" t="s">
        <v>134</v>
      </c>
      <c r="C50" s="48">
        <v>600000</v>
      </c>
      <c r="D50" s="48"/>
      <c r="E50" s="48">
        <v>522690.31</v>
      </c>
      <c r="F50" s="48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151">
        <f>SUM(E50:P50)</f>
        <v>522690.31</v>
      </c>
      <c r="R50" s="152">
        <f t="shared" si="19"/>
        <v>0.8711505166666667</v>
      </c>
      <c r="S50" s="151">
        <f>+C50-Q50</f>
        <v>77309.69</v>
      </c>
      <c r="T50" s="152">
        <f>+S50/C50</f>
        <v>0.12884948333333335</v>
      </c>
      <c r="U50" s="151">
        <f t="shared" si="22"/>
        <v>77309.69</v>
      </c>
      <c r="V50" s="152">
        <f>+U50/C50</f>
        <v>0.12884948333333335</v>
      </c>
      <c r="W50" s="3"/>
      <c r="X50" s="3"/>
      <c r="Y50" s="3"/>
      <c r="Z50" s="3"/>
      <c r="AA50" s="3"/>
      <c r="AB50" s="3"/>
      <c r="AC50" s="3"/>
    </row>
    <row r="51" spans="1:29" ht="15">
      <c r="A51" s="23" t="s">
        <v>278</v>
      </c>
      <c r="B51" s="8" t="s">
        <v>295</v>
      </c>
      <c r="C51" s="79">
        <f>SUM(C53:C53)</f>
        <v>39600000</v>
      </c>
      <c r="D51" s="79"/>
      <c r="E51" s="79">
        <f>SUM(E53:E53)</f>
        <v>3203385</v>
      </c>
      <c r="F51" s="79">
        <f aca="true" t="shared" si="25" ref="F51:P51">SUM(F53:F53)</f>
        <v>0</v>
      </c>
      <c r="G51" s="79">
        <f t="shared" si="25"/>
        <v>0</v>
      </c>
      <c r="H51" s="79">
        <f t="shared" si="25"/>
        <v>0</v>
      </c>
      <c r="I51" s="79">
        <f t="shared" si="25"/>
        <v>0</v>
      </c>
      <c r="J51" s="79">
        <f t="shared" si="25"/>
        <v>0</v>
      </c>
      <c r="K51" s="79">
        <f t="shared" si="25"/>
        <v>0</v>
      </c>
      <c r="L51" s="79">
        <f t="shared" si="25"/>
        <v>0</v>
      </c>
      <c r="M51" s="79">
        <f t="shared" si="25"/>
        <v>0</v>
      </c>
      <c r="N51" s="79">
        <f t="shared" si="25"/>
        <v>0</v>
      </c>
      <c r="O51" s="79">
        <f t="shared" si="25"/>
        <v>0</v>
      </c>
      <c r="P51" s="79">
        <f t="shared" si="25"/>
        <v>0</v>
      </c>
      <c r="Q51" s="83">
        <f>SUM(E51:O52)</f>
        <v>3203385</v>
      </c>
      <c r="R51" s="84">
        <f t="shared" si="19"/>
        <v>0.08089356060606061</v>
      </c>
      <c r="S51" s="83">
        <f t="shared" si="9"/>
        <v>36396615</v>
      </c>
      <c r="T51" s="84">
        <f t="shared" si="10"/>
        <v>0.9191064393939394</v>
      </c>
      <c r="U51" s="83">
        <f>+C51+D51-Q51</f>
        <v>36396615</v>
      </c>
      <c r="V51" s="81">
        <f>+U51/C51</f>
        <v>0.9191064393939394</v>
      </c>
      <c r="W51" s="34"/>
      <c r="X51" s="3"/>
      <c r="Y51" s="3"/>
      <c r="Z51" s="3"/>
      <c r="AA51" s="3"/>
      <c r="AB51" s="3"/>
      <c r="AC51" s="3"/>
    </row>
    <row r="52" spans="1:29" ht="17.25" customHeight="1" hidden="1">
      <c r="A52" s="24" t="s">
        <v>50</v>
      </c>
      <c r="B52" s="9" t="s">
        <v>51</v>
      </c>
      <c r="C52" s="48">
        <v>0</v>
      </c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61"/>
      <c r="R52" s="61"/>
      <c r="S52" s="59">
        <v>0</v>
      </c>
      <c r="T52" s="59"/>
      <c r="U52" s="61"/>
      <c r="V52" s="61"/>
      <c r="W52" s="3"/>
      <c r="X52" s="3"/>
      <c r="Y52" s="3"/>
      <c r="Z52" s="3"/>
      <c r="AA52" s="3"/>
      <c r="AB52" s="3"/>
      <c r="AC52" s="3"/>
    </row>
    <row r="53" spans="1:22" s="3" customFormat="1" ht="15">
      <c r="A53" s="138" t="s">
        <v>137</v>
      </c>
      <c r="B53" s="28" t="s">
        <v>175</v>
      </c>
      <c r="C53" s="47">
        <v>39600000</v>
      </c>
      <c r="D53" s="48"/>
      <c r="E53" s="48">
        <v>3203385</v>
      </c>
      <c r="F53" s="48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151">
        <f>SUM(E53:P53)</f>
        <v>3203385</v>
      </c>
      <c r="R53" s="152">
        <f>+Q53/C53</f>
        <v>0.08089356060606061</v>
      </c>
      <c r="S53" s="151">
        <f>+C53-Q53</f>
        <v>36396615</v>
      </c>
      <c r="T53" s="152">
        <f>+S53/C53</f>
        <v>0.9191064393939394</v>
      </c>
      <c r="U53" s="151">
        <f>+C53-Q53</f>
        <v>36396615</v>
      </c>
      <c r="V53" s="152">
        <f>+U53/C53</f>
        <v>0.9191064393939394</v>
      </c>
    </row>
    <row r="54" spans="1:22" s="3" customFormat="1" ht="17.25" customHeight="1" hidden="1">
      <c r="A54" s="30" t="s">
        <v>52</v>
      </c>
      <c r="B54" s="35" t="s">
        <v>53</v>
      </c>
      <c r="C54" s="48">
        <v>0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61"/>
      <c r="R54" s="61"/>
      <c r="S54" s="59">
        <v>0</v>
      </c>
      <c r="T54" s="59"/>
      <c r="U54" s="61"/>
      <c r="V54" s="61"/>
    </row>
    <row r="55" spans="1:22" s="3" customFormat="1" ht="15">
      <c r="A55" s="23" t="s">
        <v>54</v>
      </c>
      <c r="B55" s="8" t="s">
        <v>55</v>
      </c>
      <c r="C55" s="79">
        <f>+C56+C63</f>
        <v>6553220</v>
      </c>
      <c r="D55" s="79"/>
      <c r="E55" s="79">
        <f>+E56+E63</f>
        <v>1903681.1</v>
      </c>
      <c r="F55" s="79">
        <f aca="true" t="shared" si="26" ref="F55:P55">SUM(F56:F56)</f>
        <v>0</v>
      </c>
      <c r="G55" s="79">
        <f t="shared" si="26"/>
        <v>0</v>
      </c>
      <c r="H55" s="79">
        <f t="shared" si="26"/>
        <v>0</v>
      </c>
      <c r="I55" s="79">
        <f t="shared" si="26"/>
        <v>0</v>
      </c>
      <c r="J55" s="79">
        <f t="shared" si="26"/>
        <v>0</v>
      </c>
      <c r="K55" s="79">
        <f t="shared" si="26"/>
        <v>0</v>
      </c>
      <c r="L55" s="79">
        <f t="shared" si="26"/>
        <v>0</v>
      </c>
      <c r="M55" s="79">
        <f t="shared" si="26"/>
        <v>0</v>
      </c>
      <c r="N55" s="79">
        <f t="shared" si="26"/>
        <v>0</v>
      </c>
      <c r="O55" s="79">
        <f t="shared" si="26"/>
        <v>0</v>
      </c>
      <c r="P55" s="79">
        <f t="shared" si="26"/>
        <v>0</v>
      </c>
      <c r="Q55" s="83">
        <f>SUM(E55:P55)</f>
        <v>1903681.1</v>
      </c>
      <c r="R55" s="84">
        <f>+Q55/C55</f>
        <v>0.29049552738958867</v>
      </c>
      <c r="S55" s="83">
        <f>+C55-Q55</f>
        <v>4649538.9</v>
      </c>
      <c r="T55" s="84">
        <f>+S55/C55</f>
        <v>0.7095044726104114</v>
      </c>
      <c r="U55" s="83">
        <f>+C55+D55-Q55</f>
        <v>4649538.9</v>
      </c>
      <c r="V55" s="81">
        <f>+U55/C55</f>
        <v>0.7095044726104114</v>
      </c>
    </row>
    <row r="56" spans="1:22" s="3" customFormat="1" ht="15">
      <c r="A56" s="145" t="s">
        <v>138</v>
      </c>
      <c r="B56" s="27" t="s">
        <v>163</v>
      </c>
      <c r="C56" s="47">
        <v>20000</v>
      </c>
      <c r="D56" s="48"/>
      <c r="E56" s="48">
        <v>6365</v>
      </c>
      <c r="F56" s="48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151">
        <f aca="true" t="shared" si="27" ref="Q56:Q72">SUM(E56:P56)</f>
        <v>6365</v>
      </c>
      <c r="R56" s="152">
        <f>+Q56/C56</f>
        <v>0.31825</v>
      </c>
      <c r="S56" s="151">
        <f>+C56-Q56</f>
        <v>13635</v>
      </c>
      <c r="T56" s="152">
        <f>+S56/C56</f>
        <v>0.68175</v>
      </c>
      <c r="U56" s="151">
        <f>+C56-Q56</f>
        <v>13635</v>
      </c>
      <c r="V56" s="152">
        <f>+U56/C56</f>
        <v>0.68175</v>
      </c>
    </row>
    <row r="57" spans="1:22" s="3" customFormat="1" ht="17.25" customHeight="1" hidden="1">
      <c r="A57" s="33" t="s">
        <v>116</v>
      </c>
      <c r="B57" s="28" t="s">
        <v>57</v>
      </c>
      <c r="C57" s="48">
        <v>100000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51">
        <f t="shared" si="27"/>
        <v>0</v>
      </c>
      <c r="R57" s="152">
        <f>+Q57/C57</f>
        <v>0</v>
      </c>
      <c r="S57" s="151">
        <f>+C57-Q57</f>
        <v>100000</v>
      </c>
      <c r="T57" s="152">
        <f>+S57/C57</f>
        <v>1</v>
      </c>
      <c r="U57" s="151">
        <f>SUM(D57:T57)</f>
        <v>100001</v>
      </c>
      <c r="V57" s="152" t="e">
        <f>+U57/#REF!</f>
        <v>#REF!</v>
      </c>
    </row>
    <row r="58" spans="1:29" s="12" customFormat="1" ht="17.25" customHeight="1" hidden="1">
      <c r="A58" s="23" t="s">
        <v>58</v>
      </c>
      <c r="B58" s="8" t="s">
        <v>59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151">
        <f t="shared" si="27"/>
        <v>0</v>
      </c>
      <c r="R58" s="151"/>
      <c r="S58" s="151"/>
      <c r="T58" s="151"/>
      <c r="U58" s="151"/>
      <c r="V58" s="151"/>
      <c r="W58" s="1"/>
      <c r="X58" s="1"/>
      <c r="Y58" s="1"/>
      <c r="Z58" s="1"/>
      <c r="AA58" s="1"/>
      <c r="AB58" s="1"/>
      <c r="AC58" s="10"/>
    </row>
    <row r="59" spans="1:28" s="10" customFormat="1" ht="17.25" customHeight="1" hidden="1">
      <c r="A59" s="24" t="s">
        <v>60</v>
      </c>
      <c r="B59" s="9" t="s">
        <v>61</v>
      </c>
      <c r="C59" s="57">
        <v>0</v>
      </c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51">
        <f t="shared" si="27"/>
        <v>0</v>
      </c>
      <c r="R59" s="151"/>
      <c r="S59" s="153">
        <v>0</v>
      </c>
      <c r="T59" s="153"/>
      <c r="U59" s="151"/>
      <c r="V59" s="151"/>
      <c r="W59" s="1"/>
      <c r="X59" s="1"/>
      <c r="Y59" s="1"/>
      <c r="Z59" s="1"/>
      <c r="AA59" s="1"/>
      <c r="AB59" s="1"/>
    </row>
    <row r="60" spans="1:29" s="3" customFormat="1" ht="17.25" customHeight="1" hidden="1">
      <c r="A60" s="24" t="s">
        <v>62</v>
      </c>
      <c r="B60" s="9" t="s">
        <v>63</v>
      </c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51">
        <f t="shared" si="27"/>
        <v>0</v>
      </c>
      <c r="R60" s="151"/>
      <c r="S60" s="151"/>
      <c r="T60" s="151"/>
      <c r="U60" s="151"/>
      <c r="V60" s="151"/>
      <c r="W60" s="1"/>
      <c r="X60" s="1"/>
      <c r="Y60" s="1"/>
      <c r="Z60" s="1"/>
      <c r="AA60" s="1"/>
      <c r="AB60" s="1"/>
      <c r="AC60" s="10"/>
    </row>
    <row r="61" spans="1:28" s="10" customFormat="1" ht="17.25" customHeight="1" hidden="1">
      <c r="A61" s="24" t="s">
        <v>64</v>
      </c>
      <c r="B61" s="9" t="s">
        <v>65</v>
      </c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51">
        <f t="shared" si="27"/>
        <v>0</v>
      </c>
      <c r="R61" s="151"/>
      <c r="S61" s="151"/>
      <c r="T61" s="151"/>
      <c r="U61" s="151"/>
      <c r="V61" s="151"/>
      <c r="W61" s="1"/>
      <c r="X61" s="1"/>
      <c r="Y61" s="1"/>
      <c r="Z61" s="1"/>
      <c r="AA61" s="1"/>
      <c r="AB61" s="1"/>
    </row>
    <row r="62" spans="1:28" s="10" customFormat="1" ht="69" customHeight="1" hidden="1">
      <c r="A62" s="24" t="s">
        <v>66</v>
      </c>
      <c r="B62" s="9" t="s">
        <v>67</v>
      </c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51">
        <f t="shared" si="27"/>
        <v>0</v>
      </c>
      <c r="R62" s="151"/>
      <c r="S62" s="151"/>
      <c r="T62" s="151"/>
      <c r="U62" s="151"/>
      <c r="V62" s="151"/>
      <c r="W62" s="1"/>
      <c r="X62" s="1"/>
      <c r="Y62" s="1"/>
      <c r="Z62" s="1"/>
      <c r="AA62" s="1"/>
      <c r="AB62" s="1"/>
    </row>
    <row r="63" spans="1:28" s="10" customFormat="1" ht="15">
      <c r="A63" s="146" t="s">
        <v>115</v>
      </c>
      <c r="B63" s="9" t="s">
        <v>56</v>
      </c>
      <c r="C63" s="48">
        <v>6533220</v>
      </c>
      <c r="D63" s="48"/>
      <c r="E63" s="48">
        <v>1897316.1</v>
      </c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151">
        <f t="shared" si="27"/>
        <v>1897316.1</v>
      </c>
      <c r="R63" s="152">
        <f>+Q63/C63</f>
        <v>0.29041056324446446</v>
      </c>
      <c r="S63" s="151">
        <f>+C63-Q63</f>
        <v>4635903.9</v>
      </c>
      <c r="T63" s="152">
        <f>+S63/C63</f>
        <v>0.7095894367555357</v>
      </c>
      <c r="U63" s="151">
        <f>+C63-Q63</f>
        <v>4635903.9</v>
      </c>
      <c r="V63" s="152">
        <f>+U63/C63</f>
        <v>0.7095894367555357</v>
      </c>
      <c r="W63" s="1"/>
      <c r="X63" s="1"/>
      <c r="Y63" s="1"/>
      <c r="Z63" s="1"/>
      <c r="AA63" s="1"/>
      <c r="AB63" s="1"/>
    </row>
    <row r="64" spans="1:22" s="13" customFormat="1" ht="15">
      <c r="A64" s="23" t="s">
        <v>58</v>
      </c>
      <c r="B64" s="8" t="s">
        <v>296</v>
      </c>
      <c r="C64" s="79">
        <f>+C65+C66+C67</f>
        <v>1400000</v>
      </c>
      <c r="D64" s="79"/>
      <c r="E64" s="79">
        <f>+E65+E66+E67</f>
        <v>1063475</v>
      </c>
      <c r="F64" s="79">
        <f aca="true" t="shared" si="28" ref="F64:P64">+F65+F66+F67</f>
        <v>0</v>
      </c>
      <c r="G64" s="79">
        <f t="shared" si="28"/>
        <v>0</v>
      </c>
      <c r="H64" s="79">
        <f t="shared" si="28"/>
        <v>0</v>
      </c>
      <c r="I64" s="79">
        <f t="shared" si="28"/>
        <v>0</v>
      </c>
      <c r="J64" s="79">
        <f t="shared" si="28"/>
        <v>0</v>
      </c>
      <c r="K64" s="79">
        <f t="shared" si="28"/>
        <v>0</v>
      </c>
      <c r="L64" s="79">
        <f t="shared" si="28"/>
        <v>0</v>
      </c>
      <c r="M64" s="79">
        <f t="shared" si="28"/>
        <v>0</v>
      </c>
      <c r="N64" s="79">
        <f t="shared" si="28"/>
        <v>0</v>
      </c>
      <c r="O64" s="79">
        <f t="shared" si="28"/>
        <v>0</v>
      </c>
      <c r="P64" s="79">
        <f t="shared" si="28"/>
        <v>0</v>
      </c>
      <c r="Q64" s="83">
        <f aca="true" t="shared" si="29" ref="Q63:Q72">SUM(E64:P64)</f>
        <v>1063475</v>
      </c>
      <c r="R64" s="84">
        <f>+Q64/(C64+D64)</f>
        <v>0.759625</v>
      </c>
      <c r="S64" s="83">
        <f aca="true" t="shared" si="30" ref="S64:S70">+C64-Q64</f>
        <v>336525</v>
      </c>
      <c r="T64" s="84">
        <f aca="true" t="shared" si="31" ref="T64:T70">+S64/C64</f>
        <v>0.240375</v>
      </c>
      <c r="U64" s="83">
        <f>+C64+D64-Q64</f>
        <v>336525</v>
      </c>
      <c r="V64" s="81">
        <f>+U64/C64</f>
        <v>0.240375</v>
      </c>
    </row>
    <row r="65" spans="1:22" s="3" customFormat="1" ht="15">
      <c r="A65" s="140" t="s">
        <v>148</v>
      </c>
      <c r="B65" s="28" t="s">
        <v>63</v>
      </c>
      <c r="C65" s="48">
        <v>300000</v>
      </c>
      <c r="D65" s="48"/>
      <c r="E65" s="48">
        <v>190275</v>
      </c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151">
        <f t="shared" si="27"/>
        <v>190275</v>
      </c>
      <c r="R65" s="152">
        <f>+Q65/C65</f>
        <v>0.63425</v>
      </c>
      <c r="S65" s="151">
        <f t="shared" si="30"/>
        <v>109725</v>
      </c>
      <c r="T65" s="152">
        <f t="shared" si="31"/>
        <v>0.36575</v>
      </c>
      <c r="U65" s="151">
        <f>+C65-Q65</f>
        <v>109725</v>
      </c>
      <c r="V65" s="152">
        <f aca="true" t="shared" si="32" ref="V65:V70">+U65/C65</f>
        <v>0.36575</v>
      </c>
    </row>
    <row r="66" spans="1:22" s="3" customFormat="1" ht="15">
      <c r="A66" s="140" t="s">
        <v>149</v>
      </c>
      <c r="B66" s="28" t="s">
        <v>176</v>
      </c>
      <c r="C66" s="48">
        <v>700000</v>
      </c>
      <c r="D66" s="48"/>
      <c r="E66" s="48">
        <v>507400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151">
        <f t="shared" si="27"/>
        <v>507400</v>
      </c>
      <c r="R66" s="152">
        <f>+Q66/C66</f>
        <v>0.7248571428571429</v>
      </c>
      <c r="S66" s="151">
        <f t="shared" si="30"/>
        <v>192600</v>
      </c>
      <c r="T66" s="152">
        <f t="shared" si="31"/>
        <v>0.27514285714285713</v>
      </c>
      <c r="U66" s="151">
        <f>+C66-Q66</f>
        <v>192600</v>
      </c>
      <c r="V66" s="152">
        <f t="shared" si="32"/>
        <v>0.27514285714285713</v>
      </c>
    </row>
    <row r="67" spans="1:22" s="3" customFormat="1" ht="15">
      <c r="A67" s="140" t="s">
        <v>150</v>
      </c>
      <c r="B67" s="28" t="s">
        <v>67</v>
      </c>
      <c r="C67" s="48">
        <v>400000</v>
      </c>
      <c r="D67" s="48"/>
      <c r="E67" s="48">
        <v>365800</v>
      </c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151">
        <f t="shared" si="27"/>
        <v>365800</v>
      </c>
      <c r="R67" s="152">
        <f>+Q67/(D67+C67)</f>
        <v>0.9145</v>
      </c>
      <c r="S67" s="151">
        <f t="shared" si="30"/>
        <v>34200</v>
      </c>
      <c r="T67" s="152">
        <f t="shared" si="31"/>
        <v>0.0855</v>
      </c>
      <c r="U67" s="151">
        <f>+C67+D67-Q67</f>
        <v>34200</v>
      </c>
      <c r="V67" s="152">
        <f t="shared" si="32"/>
        <v>0.0855</v>
      </c>
    </row>
    <row r="68" spans="1:29" s="12" customFormat="1" ht="15">
      <c r="A68" s="23" t="s">
        <v>68</v>
      </c>
      <c r="B68" s="8" t="s">
        <v>297</v>
      </c>
      <c r="C68" s="79">
        <f>+C69+C70</f>
        <v>120000</v>
      </c>
      <c r="D68" s="79"/>
      <c r="E68" s="79">
        <f>+E69+E70</f>
        <v>74235.76</v>
      </c>
      <c r="F68" s="79">
        <f aca="true" t="shared" si="33" ref="F68:P68">+F69+F70</f>
        <v>0</v>
      </c>
      <c r="G68" s="79">
        <f t="shared" si="33"/>
        <v>0</v>
      </c>
      <c r="H68" s="79">
        <f t="shared" si="33"/>
        <v>0</v>
      </c>
      <c r="I68" s="79">
        <f t="shared" si="33"/>
        <v>0</v>
      </c>
      <c r="J68" s="79">
        <f t="shared" si="33"/>
        <v>0</v>
      </c>
      <c r="K68" s="79">
        <f t="shared" si="33"/>
        <v>0</v>
      </c>
      <c r="L68" s="79">
        <f t="shared" si="33"/>
        <v>0</v>
      </c>
      <c r="M68" s="79">
        <f t="shared" si="33"/>
        <v>0</v>
      </c>
      <c r="N68" s="79">
        <f t="shared" si="33"/>
        <v>0</v>
      </c>
      <c r="O68" s="79">
        <f t="shared" si="33"/>
        <v>0</v>
      </c>
      <c r="P68" s="79">
        <f t="shared" si="33"/>
        <v>0</v>
      </c>
      <c r="Q68" s="83">
        <f t="shared" si="29"/>
        <v>74235.76</v>
      </c>
      <c r="R68" s="84">
        <f>+Q68/C68</f>
        <v>0.6186313333333333</v>
      </c>
      <c r="S68" s="83">
        <f t="shared" si="30"/>
        <v>45764.240000000005</v>
      </c>
      <c r="T68" s="84">
        <f t="shared" si="31"/>
        <v>0.3813686666666667</v>
      </c>
      <c r="U68" s="83">
        <f>+C68+D68-Q68</f>
        <v>45764.240000000005</v>
      </c>
      <c r="V68" s="81">
        <f>+U68/C68</f>
        <v>0.3813686666666667</v>
      </c>
      <c r="W68" s="1"/>
      <c r="X68" s="1"/>
      <c r="Y68" s="1"/>
      <c r="Z68" s="1"/>
      <c r="AA68" s="1"/>
      <c r="AB68" s="1"/>
      <c r="AC68" s="10"/>
    </row>
    <row r="69" spans="1:29" s="3" customFormat="1" ht="15">
      <c r="A69" s="145" t="s">
        <v>117</v>
      </c>
      <c r="B69" s="27" t="s">
        <v>69</v>
      </c>
      <c r="C69" s="48">
        <v>20000</v>
      </c>
      <c r="D69" s="48"/>
      <c r="E69" s="48">
        <v>7570</v>
      </c>
      <c r="F69" s="48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151">
        <f t="shared" si="27"/>
        <v>7570</v>
      </c>
      <c r="R69" s="152">
        <f>+Q69/C69</f>
        <v>0.3785</v>
      </c>
      <c r="S69" s="151">
        <f t="shared" si="30"/>
        <v>12430</v>
      </c>
      <c r="T69" s="152">
        <f t="shared" si="31"/>
        <v>0.6215</v>
      </c>
      <c r="U69" s="151">
        <f>+C69-Q69</f>
        <v>12430</v>
      </c>
      <c r="V69" s="152">
        <f t="shared" si="32"/>
        <v>0.6215</v>
      </c>
      <c r="W69" s="2"/>
      <c r="X69" s="2"/>
      <c r="Y69" s="2"/>
      <c r="Z69" s="2"/>
      <c r="AA69" s="2"/>
      <c r="AB69" s="2"/>
      <c r="AC69" s="4"/>
    </row>
    <row r="70" spans="1:29" s="3" customFormat="1" ht="15">
      <c r="A70" s="145" t="s">
        <v>118</v>
      </c>
      <c r="B70" s="27" t="s">
        <v>70</v>
      </c>
      <c r="C70" s="42">
        <v>100000</v>
      </c>
      <c r="D70" s="48"/>
      <c r="E70" s="48">
        <v>66665.76</v>
      </c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151">
        <f t="shared" si="27"/>
        <v>66665.76</v>
      </c>
      <c r="R70" s="152">
        <f>+Q70/C70</f>
        <v>0.6666576</v>
      </c>
      <c r="S70" s="151">
        <f t="shared" si="30"/>
        <v>33334.240000000005</v>
      </c>
      <c r="T70" s="152">
        <f t="shared" si="31"/>
        <v>0.33334240000000004</v>
      </c>
      <c r="U70" s="151">
        <f>+C70-Q70</f>
        <v>33334.240000000005</v>
      </c>
      <c r="V70" s="152">
        <f t="shared" si="32"/>
        <v>0.33334240000000004</v>
      </c>
      <c r="W70" s="2"/>
      <c r="X70" s="2"/>
      <c r="Y70" s="2"/>
      <c r="Z70" s="2"/>
      <c r="AA70" s="2"/>
      <c r="AB70" s="2"/>
      <c r="AC70" s="4"/>
    </row>
    <row r="71" spans="1:29" s="12" customFormat="1" ht="30">
      <c r="A71" s="147" t="s">
        <v>71</v>
      </c>
      <c r="B71" s="39" t="s">
        <v>298</v>
      </c>
      <c r="C71" s="79">
        <f>+C72</f>
        <v>20000</v>
      </c>
      <c r="D71" s="79"/>
      <c r="E71" s="79">
        <f>+E72</f>
        <v>17628.94</v>
      </c>
      <c r="F71" s="79">
        <f aca="true" t="shared" si="34" ref="F71:P71">+F72</f>
        <v>0</v>
      </c>
      <c r="G71" s="79">
        <f t="shared" si="34"/>
        <v>0</v>
      </c>
      <c r="H71" s="79">
        <f t="shared" si="34"/>
        <v>0</v>
      </c>
      <c r="I71" s="79">
        <f t="shared" si="34"/>
        <v>0</v>
      </c>
      <c r="J71" s="79">
        <f t="shared" si="34"/>
        <v>0</v>
      </c>
      <c r="K71" s="79">
        <f t="shared" si="34"/>
        <v>0</v>
      </c>
      <c r="L71" s="79">
        <f t="shared" si="34"/>
        <v>0</v>
      </c>
      <c r="M71" s="79">
        <f t="shared" si="34"/>
        <v>0</v>
      </c>
      <c r="N71" s="79">
        <f t="shared" si="34"/>
        <v>0</v>
      </c>
      <c r="O71" s="79">
        <f t="shared" si="34"/>
        <v>0</v>
      </c>
      <c r="P71" s="79">
        <f t="shared" si="34"/>
        <v>0</v>
      </c>
      <c r="Q71" s="83">
        <f t="shared" si="29"/>
        <v>17628.94</v>
      </c>
      <c r="R71" s="148">
        <f>+Q71/C71</f>
        <v>0.881447</v>
      </c>
      <c r="S71" s="83">
        <f>+C71-Q71</f>
        <v>2371.0600000000013</v>
      </c>
      <c r="T71" s="84">
        <f>+S71/C71</f>
        <v>0.11855300000000006</v>
      </c>
      <c r="U71" s="83">
        <f>+U72</f>
        <v>2371.0600000000013</v>
      </c>
      <c r="V71" s="148">
        <f>+U71/C71</f>
        <v>0.11855300000000006</v>
      </c>
      <c r="W71" s="1"/>
      <c r="X71" s="1"/>
      <c r="Y71" s="1"/>
      <c r="Z71" s="1"/>
      <c r="AA71" s="1"/>
      <c r="AB71" s="1"/>
      <c r="AC71" s="10"/>
    </row>
    <row r="72" spans="1:29" s="3" customFormat="1" ht="15">
      <c r="A72" s="145" t="s">
        <v>196</v>
      </c>
      <c r="B72" s="27" t="s">
        <v>204</v>
      </c>
      <c r="C72" s="42">
        <v>20000</v>
      </c>
      <c r="D72" s="48"/>
      <c r="E72" s="48">
        <v>17628.94</v>
      </c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151">
        <f t="shared" si="27"/>
        <v>17628.94</v>
      </c>
      <c r="R72" s="152">
        <v>0</v>
      </c>
      <c r="S72" s="151">
        <f>+C72-Q72</f>
        <v>2371.0600000000013</v>
      </c>
      <c r="T72" s="152">
        <f>+S72/C72</f>
        <v>0.11855300000000006</v>
      </c>
      <c r="U72" s="151">
        <f>+C72-Q72</f>
        <v>2371.0600000000013</v>
      </c>
      <c r="V72" s="152">
        <v>0</v>
      </c>
      <c r="W72" s="2"/>
      <c r="X72" s="2"/>
      <c r="Y72" s="2"/>
      <c r="Z72" s="2"/>
      <c r="AA72" s="2"/>
      <c r="AB72" s="2"/>
      <c r="AC72" s="4"/>
    </row>
    <row r="73" spans="1:22" s="3" customFormat="1" ht="15" hidden="1">
      <c r="A73" s="26" t="s">
        <v>72</v>
      </c>
      <c r="B73" s="6" t="s">
        <v>73</v>
      </c>
      <c r="C73" s="63">
        <v>0</v>
      </c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61"/>
      <c r="R73" s="61"/>
      <c r="S73" s="64">
        <v>0</v>
      </c>
      <c r="T73" s="64"/>
      <c r="U73" s="61"/>
      <c r="V73" s="61"/>
    </row>
    <row r="74" spans="1:22" s="13" customFormat="1" ht="30">
      <c r="A74" s="44" t="s">
        <v>74</v>
      </c>
      <c r="B74" s="39" t="s">
        <v>75</v>
      </c>
      <c r="C74" s="79">
        <f>+C75+C76+C77+C78+C80+C81+C83+C84</f>
        <v>57638400</v>
      </c>
      <c r="D74" s="79"/>
      <c r="E74" s="79">
        <f aca="true" t="shared" si="35" ref="E74:P74">+E75+E76+E77+E78+E80+E81+E83+E84</f>
        <v>5642866.6</v>
      </c>
      <c r="F74" s="79">
        <f t="shared" si="35"/>
        <v>0</v>
      </c>
      <c r="G74" s="79">
        <f t="shared" si="35"/>
        <v>0</v>
      </c>
      <c r="H74" s="79">
        <f t="shared" si="35"/>
        <v>0</v>
      </c>
      <c r="I74" s="79">
        <f t="shared" si="35"/>
        <v>0</v>
      </c>
      <c r="J74" s="79">
        <f t="shared" si="35"/>
        <v>0</v>
      </c>
      <c r="K74" s="79">
        <f t="shared" si="35"/>
        <v>0</v>
      </c>
      <c r="L74" s="79">
        <f t="shared" si="35"/>
        <v>0</v>
      </c>
      <c r="M74" s="79">
        <f t="shared" si="35"/>
        <v>0</v>
      </c>
      <c r="N74" s="79">
        <f t="shared" si="35"/>
        <v>0</v>
      </c>
      <c r="O74" s="79">
        <f t="shared" si="35"/>
        <v>0</v>
      </c>
      <c r="P74" s="79">
        <f t="shared" si="35"/>
        <v>0</v>
      </c>
      <c r="Q74" s="83">
        <f>SUM(E74:P74)</f>
        <v>5642866.6</v>
      </c>
      <c r="R74" s="148">
        <f>+Q74/C74</f>
        <v>0.09790116658338885</v>
      </c>
      <c r="S74" s="83">
        <f>+C74-Q74</f>
        <v>51995533.4</v>
      </c>
      <c r="T74" s="84">
        <f>+S74/C74</f>
        <v>0.9020988334166111</v>
      </c>
      <c r="U74" s="83">
        <f>+U75</f>
        <v>32671285.96</v>
      </c>
      <c r="V74" s="149">
        <f>+U74/C74</f>
        <v>0.5668319377359539</v>
      </c>
    </row>
    <row r="75" spans="1:22" s="3" customFormat="1" ht="15">
      <c r="A75" s="119" t="s">
        <v>119</v>
      </c>
      <c r="B75" s="28" t="s">
        <v>76</v>
      </c>
      <c r="C75" s="47">
        <v>36000000</v>
      </c>
      <c r="D75" s="48"/>
      <c r="E75" s="48">
        <v>3328714.04</v>
      </c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151">
        <f aca="true" t="shared" si="36" ref="Q75:Q93">SUM(E75:P75)</f>
        <v>3328714.04</v>
      </c>
      <c r="R75" s="152">
        <f>+Q75/(D75+C75)</f>
        <v>0.09246427888888889</v>
      </c>
      <c r="S75" s="151">
        <f aca="true" t="shared" si="37" ref="S75:S93">+C75-Q75</f>
        <v>32671285.96</v>
      </c>
      <c r="T75" s="152">
        <f aca="true" t="shared" si="38" ref="T75:T93">+S75/C75</f>
        <v>0.9075357211111111</v>
      </c>
      <c r="U75" s="151">
        <f>+C75+D75-Q75</f>
        <v>32671285.96</v>
      </c>
      <c r="V75" s="152">
        <f>+U75/C75</f>
        <v>0.9075357211111111</v>
      </c>
    </row>
    <row r="76" spans="1:22" s="3" customFormat="1" ht="15">
      <c r="A76" s="119" t="s">
        <v>120</v>
      </c>
      <c r="B76" s="28" t="s">
        <v>77</v>
      </c>
      <c r="C76" s="47">
        <v>18600000</v>
      </c>
      <c r="D76" s="48"/>
      <c r="E76" s="48">
        <v>1722617.55</v>
      </c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151">
        <f t="shared" si="36"/>
        <v>1722617.55</v>
      </c>
      <c r="R76" s="152">
        <f>+Q76/(D76+C76)</f>
        <v>0.09261384677419356</v>
      </c>
      <c r="S76" s="151">
        <f t="shared" si="37"/>
        <v>16877382.45</v>
      </c>
      <c r="T76" s="152">
        <f t="shared" si="38"/>
        <v>0.9073861532258064</v>
      </c>
      <c r="U76" s="151">
        <f>+C76+D76-Q76</f>
        <v>16877382.45</v>
      </c>
      <c r="V76" s="152">
        <f>+U76/C76</f>
        <v>0.9073861532258064</v>
      </c>
    </row>
    <row r="77" spans="1:22" s="3" customFormat="1" ht="15">
      <c r="A77" s="119" t="s">
        <v>121</v>
      </c>
      <c r="B77" s="28" t="s">
        <v>78</v>
      </c>
      <c r="C77" s="47">
        <v>200400</v>
      </c>
      <c r="D77" s="48"/>
      <c r="E77" s="48">
        <v>49989.5</v>
      </c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151">
        <f t="shared" si="36"/>
        <v>49989.5</v>
      </c>
      <c r="R77" s="152">
        <v>0</v>
      </c>
      <c r="S77" s="151">
        <f t="shared" si="37"/>
        <v>150410.5</v>
      </c>
      <c r="T77" s="152">
        <f t="shared" si="38"/>
        <v>0.7505513972055888</v>
      </c>
      <c r="U77" s="151">
        <f aca="true" t="shared" si="39" ref="U77:U83">+C77-Q77</f>
        <v>150410.5</v>
      </c>
      <c r="V77" s="152">
        <v>0</v>
      </c>
    </row>
    <row r="78" spans="1:29" s="7" customFormat="1" ht="15">
      <c r="A78" s="119" t="s">
        <v>79</v>
      </c>
      <c r="B78" s="28" t="s">
        <v>80</v>
      </c>
      <c r="C78" s="47">
        <v>108000</v>
      </c>
      <c r="D78" s="48"/>
      <c r="E78" s="48">
        <v>0</v>
      </c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151">
        <f t="shared" si="36"/>
        <v>0</v>
      </c>
      <c r="R78" s="152">
        <f>+Q78/C78</f>
        <v>0</v>
      </c>
      <c r="S78" s="151">
        <f t="shared" si="37"/>
        <v>108000</v>
      </c>
      <c r="T78" s="152">
        <f t="shared" si="38"/>
        <v>1</v>
      </c>
      <c r="U78" s="151">
        <f t="shared" si="39"/>
        <v>108000</v>
      </c>
      <c r="V78" s="152">
        <f>+U78/C78</f>
        <v>1</v>
      </c>
      <c r="W78" s="3"/>
      <c r="X78" s="3"/>
      <c r="Y78" s="3"/>
      <c r="Z78" s="3"/>
      <c r="AA78" s="3"/>
      <c r="AB78" s="3"/>
      <c r="AC78" s="3"/>
    </row>
    <row r="79" spans="1:29" s="7" customFormat="1" ht="15" hidden="1">
      <c r="A79" s="119" t="s">
        <v>155</v>
      </c>
      <c r="B79" s="28" t="s">
        <v>80</v>
      </c>
      <c r="C79" s="47">
        <f>+D79*12</f>
        <v>0</v>
      </c>
      <c r="D79" s="48"/>
      <c r="E79" s="48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151">
        <f t="shared" si="36"/>
        <v>0</v>
      </c>
      <c r="R79" s="152" t="e">
        <f>+Q79/C79</f>
        <v>#DIV/0!</v>
      </c>
      <c r="S79" s="151">
        <f t="shared" si="37"/>
        <v>0</v>
      </c>
      <c r="T79" s="152" t="e">
        <f t="shared" si="38"/>
        <v>#DIV/0!</v>
      </c>
      <c r="U79" s="151">
        <f t="shared" si="39"/>
        <v>0</v>
      </c>
      <c r="V79" s="152" t="e">
        <f>+U79/C79</f>
        <v>#DIV/0!</v>
      </c>
      <c r="W79" s="3"/>
      <c r="X79" s="3"/>
      <c r="Y79" s="3"/>
      <c r="Z79" s="3"/>
      <c r="AA79" s="3"/>
      <c r="AB79" s="3"/>
      <c r="AC79" s="3"/>
    </row>
    <row r="80" spans="1:29" s="7" customFormat="1" ht="15">
      <c r="A80" s="119" t="s">
        <v>122</v>
      </c>
      <c r="B80" s="28" t="s">
        <v>81</v>
      </c>
      <c r="C80" s="47">
        <v>1152000</v>
      </c>
      <c r="D80" s="48"/>
      <c r="E80" s="48">
        <v>57313.51</v>
      </c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151">
        <f t="shared" si="36"/>
        <v>57313.51</v>
      </c>
      <c r="R80" s="152">
        <f>+Q80/C80</f>
        <v>0.04975131076388889</v>
      </c>
      <c r="S80" s="151">
        <f t="shared" si="37"/>
        <v>1094686.49</v>
      </c>
      <c r="T80" s="152">
        <f t="shared" si="38"/>
        <v>0.950248689236111</v>
      </c>
      <c r="U80" s="151">
        <f t="shared" si="39"/>
        <v>1094686.49</v>
      </c>
      <c r="V80" s="152">
        <f>+U80/C80</f>
        <v>0.950248689236111</v>
      </c>
      <c r="W80" s="3"/>
      <c r="X80" s="3"/>
      <c r="Y80" s="3"/>
      <c r="Z80" s="3"/>
      <c r="AA80" s="3"/>
      <c r="AB80" s="3"/>
      <c r="AC80" s="3"/>
    </row>
    <row r="81" spans="1:29" s="7" customFormat="1" ht="15">
      <c r="A81" s="40" t="s">
        <v>156</v>
      </c>
      <c r="B81" s="28" t="s">
        <v>157</v>
      </c>
      <c r="C81" s="47">
        <v>600000</v>
      </c>
      <c r="D81" s="48"/>
      <c r="E81" s="48">
        <v>483512</v>
      </c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151">
        <f t="shared" si="36"/>
        <v>483512</v>
      </c>
      <c r="R81" s="152">
        <f>+Q81/C81</f>
        <v>0.8058533333333333</v>
      </c>
      <c r="S81" s="151">
        <f t="shared" si="37"/>
        <v>116488</v>
      </c>
      <c r="T81" s="152">
        <f t="shared" si="38"/>
        <v>0.19414666666666666</v>
      </c>
      <c r="U81" s="151">
        <f t="shared" si="39"/>
        <v>116488</v>
      </c>
      <c r="V81" s="152">
        <f>+U81/C81</f>
        <v>0.19414666666666666</v>
      </c>
      <c r="W81" s="3"/>
      <c r="X81" s="3"/>
      <c r="Y81" s="3"/>
      <c r="Z81" s="3"/>
      <c r="AA81" s="3"/>
      <c r="AB81" s="3"/>
      <c r="AC81" s="3"/>
    </row>
    <row r="82" spans="1:29" s="7" customFormat="1" ht="30" hidden="1">
      <c r="A82" s="139" t="s">
        <v>123</v>
      </c>
      <c r="B82" s="36" t="s">
        <v>205</v>
      </c>
      <c r="C82" s="47">
        <f>+D82*12</f>
        <v>0</v>
      </c>
      <c r="D82" s="48"/>
      <c r="E82" s="48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151">
        <f t="shared" si="36"/>
        <v>0</v>
      </c>
      <c r="R82" s="152" t="e">
        <f>+Q82/C82</f>
        <v>#DIV/0!</v>
      </c>
      <c r="S82" s="151">
        <f t="shared" si="37"/>
        <v>0</v>
      </c>
      <c r="T82" s="152" t="e">
        <f t="shared" si="38"/>
        <v>#DIV/0!</v>
      </c>
      <c r="U82" s="151">
        <f t="shared" si="39"/>
        <v>0</v>
      </c>
      <c r="V82" s="152" t="e">
        <f>+U82/C82</f>
        <v>#DIV/0!</v>
      </c>
      <c r="W82" s="3"/>
      <c r="X82" s="3"/>
      <c r="Y82" s="3"/>
      <c r="Z82" s="3"/>
      <c r="AA82" s="3"/>
      <c r="AB82" s="3"/>
      <c r="AC82" s="3"/>
    </row>
    <row r="83" spans="1:29" s="7" customFormat="1" ht="15">
      <c r="A83" s="139" t="s">
        <v>151</v>
      </c>
      <c r="B83" s="36" t="s">
        <v>164</v>
      </c>
      <c r="C83" s="47">
        <v>780000</v>
      </c>
      <c r="D83" s="48"/>
      <c r="E83" s="48">
        <v>0</v>
      </c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151">
        <f t="shared" si="36"/>
        <v>0</v>
      </c>
      <c r="R83" s="152">
        <v>0</v>
      </c>
      <c r="S83" s="151">
        <f t="shared" si="37"/>
        <v>780000</v>
      </c>
      <c r="T83" s="152">
        <f t="shared" si="38"/>
        <v>1</v>
      </c>
      <c r="U83" s="151">
        <f t="shared" si="39"/>
        <v>780000</v>
      </c>
      <c r="V83" s="152">
        <v>0</v>
      </c>
      <c r="W83" s="3"/>
      <c r="X83" s="3"/>
      <c r="Y83" s="3"/>
      <c r="Z83" s="3"/>
      <c r="AA83" s="3"/>
      <c r="AB83" s="3"/>
      <c r="AC83" s="3"/>
    </row>
    <row r="84" spans="1:29" s="7" customFormat="1" ht="30">
      <c r="A84" s="139" t="s">
        <v>123</v>
      </c>
      <c r="B84" s="38" t="s">
        <v>205</v>
      </c>
      <c r="C84" s="47">
        <v>198000</v>
      </c>
      <c r="D84" s="48"/>
      <c r="E84" s="48">
        <v>720</v>
      </c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151">
        <f t="shared" si="36"/>
        <v>720</v>
      </c>
      <c r="R84" s="152">
        <v>0</v>
      </c>
      <c r="S84" s="151">
        <f>+C84-Q84</f>
        <v>197280</v>
      </c>
      <c r="T84" s="152">
        <f>+S84/C84</f>
        <v>0.9963636363636363</v>
      </c>
      <c r="U84" s="151">
        <f>+C84-Q84</f>
        <v>197280</v>
      </c>
      <c r="V84" s="152">
        <v>0</v>
      </c>
      <c r="W84" s="3"/>
      <c r="X84" s="3"/>
      <c r="Y84" s="3"/>
      <c r="Z84" s="3"/>
      <c r="AA84" s="3"/>
      <c r="AB84" s="3"/>
      <c r="AC84" s="3"/>
    </row>
    <row r="85" spans="1:29" s="7" customFormat="1" ht="15">
      <c r="A85" s="23" t="s">
        <v>82</v>
      </c>
      <c r="B85" s="8" t="s">
        <v>83</v>
      </c>
      <c r="C85" s="79">
        <f>+C86+C87+C88+C89+C90+C91+C92+C93</f>
        <v>9587983.32</v>
      </c>
      <c r="D85" s="79"/>
      <c r="E85" s="79">
        <f aca="true" t="shared" si="40" ref="E85:P85">+E86+E87+E88+E89+E90+E91+E92+E93</f>
        <v>855304.93</v>
      </c>
      <c r="F85" s="79">
        <f t="shared" si="40"/>
        <v>0</v>
      </c>
      <c r="G85" s="79">
        <f t="shared" si="40"/>
        <v>0</v>
      </c>
      <c r="H85" s="79">
        <f t="shared" si="40"/>
        <v>0</v>
      </c>
      <c r="I85" s="79">
        <f t="shared" si="40"/>
        <v>0</v>
      </c>
      <c r="J85" s="79">
        <f t="shared" si="40"/>
        <v>0</v>
      </c>
      <c r="K85" s="79">
        <f t="shared" si="40"/>
        <v>0</v>
      </c>
      <c r="L85" s="79">
        <f t="shared" si="40"/>
        <v>0</v>
      </c>
      <c r="M85" s="79">
        <f t="shared" si="40"/>
        <v>0</v>
      </c>
      <c r="N85" s="79">
        <f t="shared" si="40"/>
        <v>0</v>
      </c>
      <c r="O85" s="79">
        <f t="shared" si="40"/>
        <v>0</v>
      </c>
      <c r="P85" s="79">
        <f t="shared" si="40"/>
        <v>0</v>
      </c>
      <c r="Q85" s="83">
        <f>SUM(E85:P85)</f>
        <v>855304.93</v>
      </c>
      <c r="R85" s="84">
        <f>+Q85/(C85+D85)</f>
        <v>0.08920592594439349</v>
      </c>
      <c r="S85" s="83">
        <f t="shared" si="37"/>
        <v>8732678.39</v>
      </c>
      <c r="T85" s="84">
        <f t="shared" si="38"/>
        <v>0.9107940740556065</v>
      </c>
      <c r="U85" s="83">
        <f>+C85+D85-Q85</f>
        <v>8732678.39</v>
      </c>
      <c r="V85" s="84">
        <f aca="true" t="shared" si="41" ref="V85:V93">+U85/C85</f>
        <v>0.9107940740556065</v>
      </c>
      <c r="W85" s="3"/>
      <c r="X85" s="3"/>
      <c r="Y85" s="3"/>
      <c r="Z85" s="3"/>
      <c r="AA85" s="3"/>
      <c r="AB85" s="3"/>
      <c r="AC85" s="3"/>
    </row>
    <row r="86" spans="1:29" s="7" customFormat="1" ht="15">
      <c r="A86" s="138" t="s">
        <v>124</v>
      </c>
      <c r="B86" s="28" t="s">
        <v>207</v>
      </c>
      <c r="C86" s="47">
        <v>900000</v>
      </c>
      <c r="D86" s="48"/>
      <c r="E86" s="48">
        <v>645058.93</v>
      </c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151">
        <f t="shared" si="36"/>
        <v>645058.93</v>
      </c>
      <c r="R86" s="152">
        <f>+Q86/C86</f>
        <v>0.7167321444444446</v>
      </c>
      <c r="S86" s="151">
        <f t="shared" si="37"/>
        <v>254941.06999999995</v>
      </c>
      <c r="T86" s="152">
        <f t="shared" si="38"/>
        <v>0.2832678555555555</v>
      </c>
      <c r="U86" s="151">
        <f aca="true" t="shared" si="42" ref="U86:U93">+C86-Q86</f>
        <v>254941.06999999995</v>
      </c>
      <c r="V86" s="152">
        <f t="shared" si="41"/>
        <v>0.2832678555555555</v>
      </c>
      <c r="W86" s="3"/>
      <c r="X86" s="3"/>
      <c r="Y86" s="3"/>
      <c r="Z86" s="3"/>
      <c r="AA86" s="3"/>
      <c r="AB86" s="3"/>
      <c r="AC86" s="3"/>
    </row>
    <row r="87" spans="1:29" s="7" customFormat="1" ht="33.75" customHeight="1">
      <c r="A87" s="94" t="s">
        <v>125</v>
      </c>
      <c r="B87" s="36" t="s">
        <v>206</v>
      </c>
      <c r="C87" s="47">
        <v>2400000</v>
      </c>
      <c r="D87" s="48"/>
      <c r="E87" s="48">
        <v>6742</v>
      </c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151">
        <f t="shared" si="36"/>
        <v>6742</v>
      </c>
      <c r="R87" s="152">
        <f>+Q87/C87</f>
        <v>0.002809166666666667</v>
      </c>
      <c r="S87" s="151">
        <f>+C87-Q87</f>
        <v>2393258</v>
      </c>
      <c r="T87" s="152">
        <f>+S87/C87</f>
        <v>0.9971908333333334</v>
      </c>
      <c r="U87" s="151">
        <f>+C87-Q87</f>
        <v>2393258</v>
      </c>
      <c r="V87" s="152">
        <f>+U87/C87</f>
        <v>0.9971908333333334</v>
      </c>
      <c r="W87" s="3"/>
      <c r="X87" s="3"/>
      <c r="Y87" s="3"/>
      <c r="Z87" s="3"/>
      <c r="AA87" s="3"/>
      <c r="AB87" s="3"/>
      <c r="AC87" s="3"/>
    </row>
    <row r="88" spans="1:29" s="7" customFormat="1" ht="15">
      <c r="A88" s="94" t="s">
        <v>152</v>
      </c>
      <c r="B88" s="36" t="s">
        <v>202</v>
      </c>
      <c r="C88" s="47">
        <v>840000</v>
      </c>
      <c r="D88" s="48"/>
      <c r="E88" s="48">
        <v>0</v>
      </c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151">
        <f t="shared" si="36"/>
        <v>0</v>
      </c>
      <c r="R88" s="152">
        <f aca="true" t="shared" si="43" ref="R88:R93">+Q88/C88</f>
        <v>0</v>
      </c>
      <c r="S88" s="151">
        <f t="shared" si="37"/>
        <v>840000</v>
      </c>
      <c r="T88" s="152">
        <f t="shared" si="38"/>
        <v>1</v>
      </c>
      <c r="U88" s="151">
        <f t="shared" si="42"/>
        <v>840000</v>
      </c>
      <c r="V88" s="152">
        <f t="shared" si="41"/>
        <v>1</v>
      </c>
      <c r="W88" s="3"/>
      <c r="X88" s="3"/>
      <c r="Y88" s="3"/>
      <c r="Z88" s="3"/>
      <c r="AA88" s="3"/>
      <c r="AB88" s="3"/>
      <c r="AC88" s="3"/>
    </row>
    <row r="89" spans="1:29" s="7" customFormat="1" ht="30">
      <c r="A89" s="94" t="s">
        <v>126</v>
      </c>
      <c r="B89" s="36" t="s">
        <v>279</v>
      </c>
      <c r="C89" s="47">
        <v>1920000</v>
      </c>
      <c r="D89" s="48"/>
      <c r="E89" s="48">
        <v>200000</v>
      </c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151">
        <f t="shared" si="36"/>
        <v>200000</v>
      </c>
      <c r="R89" s="152">
        <f t="shared" si="43"/>
        <v>0.10416666666666667</v>
      </c>
      <c r="S89" s="151">
        <f t="shared" si="37"/>
        <v>1720000</v>
      </c>
      <c r="T89" s="152">
        <f t="shared" si="38"/>
        <v>0.8958333333333334</v>
      </c>
      <c r="U89" s="151">
        <f t="shared" si="42"/>
        <v>1720000</v>
      </c>
      <c r="V89" s="152">
        <f t="shared" si="41"/>
        <v>0.8958333333333334</v>
      </c>
      <c r="W89" s="3"/>
      <c r="X89" s="3"/>
      <c r="Y89" s="3"/>
      <c r="Z89" s="3"/>
      <c r="AA89" s="3"/>
      <c r="AB89" s="3"/>
      <c r="AC89" s="3"/>
    </row>
    <row r="90" spans="1:29" s="7" customFormat="1" ht="15">
      <c r="A90" s="94" t="s">
        <v>127</v>
      </c>
      <c r="B90" s="36" t="s">
        <v>280</v>
      </c>
      <c r="C90" s="47">
        <v>312000</v>
      </c>
      <c r="D90" s="48"/>
      <c r="E90" s="48">
        <v>0</v>
      </c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151">
        <f t="shared" si="36"/>
        <v>0</v>
      </c>
      <c r="R90" s="152">
        <f t="shared" si="43"/>
        <v>0</v>
      </c>
      <c r="S90" s="151">
        <f t="shared" si="37"/>
        <v>312000</v>
      </c>
      <c r="T90" s="152">
        <f t="shared" si="38"/>
        <v>1</v>
      </c>
      <c r="U90" s="151">
        <f t="shared" si="42"/>
        <v>312000</v>
      </c>
      <c r="V90" s="152">
        <f t="shared" si="41"/>
        <v>1</v>
      </c>
      <c r="W90" s="3"/>
      <c r="X90" s="3"/>
      <c r="Y90" s="3"/>
      <c r="Z90" s="3"/>
      <c r="AA90" s="3"/>
      <c r="AB90" s="3"/>
      <c r="AC90" s="3"/>
    </row>
    <row r="91" spans="1:29" s="7" customFormat="1" ht="15">
      <c r="A91" s="94" t="s">
        <v>128</v>
      </c>
      <c r="B91" s="36" t="s">
        <v>84</v>
      </c>
      <c r="C91" s="47">
        <v>1895983.32</v>
      </c>
      <c r="D91" s="48"/>
      <c r="E91" s="48">
        <v>3504</v>
      </c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151">
        <f t="shared" si="36"/>
        <v>3504</v>
      </c>
      <c r="R91" s="152">
        <f t="shared" si="43"/>
        <v>0.0018481175245782225</v>
      </c>
      <c r="S91" s="151">
        <f t="shared" si="37"/>
        <v>1892479.32</v>
      </c>
      <c r="T91" s="152">
        <f t="shared" si="38"/>
        <v>0.9981518824754217</v>
      </c>
      <c r="U91" s="151">
        <f t="shared" si="42"/>
        <v>1892479.32</v>
      </c>
      <c r="V91" s="152">
        <f t="shared" si="41"/>
        <v>0.9981518824754217</v>
      </c>
      <c r="W91" s="3"/>
      <c r="X91" s="3"/>
      <c r="Y91" s="3"/>
      <c r="Z91" s="3"/>
      <c r="AA91" s="3"/>
      <c r="AB91" s="3"/>
      <c r="AC91" s="3"/>
    </row>
    <row r="92" spans="1:29" s="7" customFormat="1" ht="15">
      <c r="A92" s="94" t="s">
        <v>153</v>
      </c>
      <c r="B92" s="36" t="s">
        <v>166</v>
      </c>
      <c r="C92" s="47">
        <v>420000</v>
      </c>
      <c r="D92" s="48"/>
      <c r="E92" s="48">
        <v>0</v>
      </c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151">
        <f t="shared" si="36"/>
        <v>0</v>
      </c>
      <c r="R92" s="152">
        <f t="shared" si="43"/>
        <v>0</v>
      </c>
      <c r="S92" s="151">
        <f t="shared" si="37"/>
        <v>420000</v>
      </c>
      <c r="T92" s="152">
        <f t="shared" si="38"/>
        <v>1</v>
      </c>
      <c r="U92" s="151">
        <f t="shared" si="42"/>
        <v>420000</v>
      </c>
      <c r="V92" s="152">
        <f t="shared" si="41"/>
        <v>1</v>
      </c>
      <c r="W92" s="3"/>
      <c r="X92" s="3"/>
      <c r="Y92" s="3"/>
      <c r="Z92" s="3"/>
      <c r="AA92" s="3"/>
      <c r="AB92" s="3"/>
      <c r="AC92" s="3"/>
    </row>
    <row r="93" spans="1:29" s="7" customFormat="1" ht="15">
      <c r="A93" s="138" t="s">
        <v>184</v>
      </c>
      <c r="B93" s="28" t="s">
        <v>185</v>
      </c>
      <c r="C93" s="47">
        <v>900000</v>
      </c>
      <c r="D93" s="48"/>
      <c r="E93" s="48">
        <v>0</v>
      </c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151">
        <f t="shared" si="36"/>
        <v>0</v>
      </c>
      <c r="R93" s="152">
        <f t="shared" si="43"/>
        <v>0</v>
      </c>
      <c r="S93" s="151">
        <f t="shared" si="37"/>
        <v>900000</v>
      </c>
      <c r="T93" s="152">
        <f t="shared" si="38"/>
        <v>1</v>
      </c>
      <c r="U93" s="151">
        <f t="shared" si="42"/>
        <v>900000</v>
      </c>
      <c r="V93" s="152">
        <f t="shared" si="41"/>
        <v>1</v>
      </c>
      <c r="W93" s="3"/>
      <c r="X93" s="3"/>
      <c r="Y93" s="3"/>
      <c r="Z93" s="3"/>
      <c r="AA93" s="3"/>
      <c r="AB93" s="3"/>
      <c r="AC93" s="3"/>
    </row>
    <row r="94" spans="1:29" s="7" customFormat="1" ht="15" hidden="1">
      <c r="A94" s="26" t="s">
        <v>85</v>
      </c>
      <c r="B94" s="6" t="s">
        <v>86</v>
      </c>
      <c r="C94" s="42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61"/>
      <c r="R94" s="61"/>
      <c r="S94" s="65"/>
      <c r="T94" s="65"/>
      <c r="U94" s="61"/>
      <c r="V94" s="61"/>
      <c r="W94" s="3"/>
      <c r="X94" s="3"/>
      <c r="Y94" s="3"/>
      <c r="Z94" s="3"/>
      <c r="AA94" s="3"/>
      <c r="AB94" s="3"/>
      <c r="AC94" s="3"/>
    </row>
    <row r="95" spans="1:22" s="3" customFormat="1" ht="15" hidden="1">
      <c r="A95" s="26" t="s">
        <v>87</v>
      </c>
      <c r="B95" s="6" t="s">
        <v>88</v>
      </c>
      <c r="C95" s="42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61"/>
      <c r="R95" s="61"/>
      <c r="S95" s="65"/>
      <c r="T95" s="65"/>
      <c r="U95" s="61"/>
      <c r="V95" s="61"/>
    </row>
    <row r="96" spans="1:22" s="3" customFormat="1" ht="15">
      <c r="A96" s="23" t="s">
        <v>89</v>
      </c>
      <c r="B96" s="8" t="s">
        <v>165</v>
      </c>
      <c r="C96" s="79">
        <f>+C98+C99+C101+C102+C108+C109+C110</f>
        <v>5352000</v>
      </c>
      <c r="D96" s="79"/>
      <c r="E96" s="79">
        <f>+E98+E99+E100+E101+E102+E108+E109+E110</f>
        <v>666975</v>
      </c>
      <c r="F96" s="79">
        <f aca="true" t="shared" si="44" ref="F96:P96">+F98+F99+F101+F102+F108+F109+F110</f>
        <v>0</v>
      </c>
      <c r="G96" s="79">
        <f t="shared" si="44"/>
        <v>0</v>
      </c>
      <c r="H96" s="79">
        <f t="shared" si="44"/>
        <v>0</v>
      </c>
      <c r="I96" s="79">
        <f t="shared" si="44"/>
        <v>0</v>
      </c>
      <c r="J96" s="79">
        <f t="shared" si="44"/>
        <v>0</v>
      </c>
      <c r="K96" s="79">
        <f t="shared" si="44"/>
        <v>0</v>
      </c>
      <c r="L96" s="79">
        <f t="shared" si="44"/>
        <v>0</v>
      </c>
      <c r="M96" s="79">
        <f t="shared" si="44"/>
        <v>0</v>
      </c>
      <c r="N96" s="79">
        <f t="shared" si="44"/>
        <v>0</v>
      </c>
      <c r="O96" s="79">
        <f t="shared" si="44"/>
        <v>0</v>
      </c>
      <c r="P96" s="79">
        <f t="shared" si="44"/>
        <v>0</v>
      </c>
      <c r="Q96" s="83">
        <f>SUM(E96:P97)</f>
        <v>666975</v>
      </c>
      <c r="R96" s="84">
        <f aca="true" t="shared" si="45" ref="R96:R107">+Q96/C96</f>
        <v>0.12462163677130045</v>
      </c>
      <c r="S96" s="83">
        <f aca="true" t="shared" si="46" ref="S96:S107">+C96-Q96</f>
        <v>4685025</v>
      </c>
      <c r="T96" s="84">
        <f aca="true" t="shared" si="47" ref="T96:T107">+S96/C96</f>
        <v>0.8753783632286996</v>
      </c>
      <c r="U96" s="83">
        <f>+C96+D96-Q96</f>
        <v>4685025</v>
      </c>
      <c r="V96" s="84">
        <f>+U96/C96</f>
        <v>0.8753783632286996</v>
      </c>
    </row>
    <row r="97" spans="1:22" s="3" customFormat="1" ht="15" hidden="1">
      <c r="A97" s="26" t="s">
        <v>90</v>
      </c>
      <c r="B97" s="6" t="s">
        <v>91</v>
      </c>
      <c r="C97" s="48">
        <f>2140000-300000-4000-600-210000-150000-1400000-30000-45400</f>
        <v>0</v>
      </c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61">
        <f>SUM(D97:E97)</f>
        <v>0</v>
      </c>
      <c r="R97" s="54" t="e">
        <f t="shared" si="45"/>
        <v>#DIV/0!</v>
      </c>
      <c r="S97" s="55">
        <f t="shared" si="46"/>
        <v>0</v>
      </c>
      <c r="T97" s="56" t="e">
        <f t="shared" si="47"/>
        <v>#DIV/0!</v>
      </c>
      <c r="U97" s="61" t="e">
        <f>SUM(D97:T97)</f>
        <v>#DIV/0!</v>
      </c>
      <c r="V97" s="54" t="e">
        <f>+U97/#REF!</f>
        <v>#DIV/0!</v>
      </c>
    </row>
    <row r="98" spans="1:22" s="3" customFormat="1" ht="30">
      <c r="A98" s="94" t="s">
        <v>129</v>
      </c>
      <c r="B98" s="37" t="s">
        <v>92</v>
      </c>
      <c r="C98" s="47">
        <v>630000</v>
      </c>
      <c r="D98" s="48"/>
      <c r="E98" s="48">
        <v>200000</v>
      </c>
      <c r="F98" s="48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151">
        <f aca="true" t="shared" si="48" ref="Q98:Q125">SUM(E98:P98)</f>
        <v>200000</v>
      </c>
      <c r="R98" s="152">
        <f t="shared" si="45"/>
        <v>0.31746031746031744</v>
      </c>
      <c r="S98" s="151">
        <f t="shared" si="46"/>
        <v>430000</v>
      </c>
      <c r="T98" s="152">
        <f t="shared" si="47"/>
        <v>0.6825396825396826</v>
      </c>
      <c r="U98" s="151">
        <f aca="true" t="shared" si="49" ref="U98:U107">+C98-Q98</f>
        <v>430000</v>
      </c>
      <c r="V98" s="152">
        <f aca="true" t="shared" si="50" ref="V98:V107">+U98/C98</f>
        <v>0.6825396825396826</v>
      </c>
    </row>
    <row r="99" spans="1:22" s="3" customFormat="1" ht="30">
      <c r="A99" s="94" t="s">
        <v>169</v>
      </c>
      <c r="B99" s="36" t="s">
        <v>170</v>
      </c>
      <c r="C99" s="47">
        <v>804000</v>
      </c>
      <c r="D99" s="48"/>
      <c r="E99" s="48">
        <v>0</v>
      </c>
      <c r="F99" s="48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151">
        <f t="shared" si="48"/>
        <v>0</v>
      </c>
      <c r="R99" s="152">
        <f t="shared" si="45"/>
        <v>0</v>
      </c>
      <c r="S99" s="151">
        <f t="shared" si="46"/>
        <v>804000</v>
      </c>
      <c r="T99" s="152">
        <f t="shared" si="47"/>
        <v>1</v>
      </c>
      <c r="U99" s="151">
        <f t="shared" si="49"/>
        <v>804000</v>
      </c>
      <c r="V99" s="152">
        <f t="shared" si="50"/>
        <v>1</v>
      </c>
    </row>
    <row r="100" spans="1:22" s="3" customFormat="1" ht="15">
      <c r="A100" s="142" t="s">
        <v>161</v>
      </c>
      <c r="B100" s="36" t="s">
        <v>162</v>
      </c>
      <c r="C100" s="47">
        <v>0</v>
      </c>
      <c r="D100" s="48"/>
      <c r="E100" s="48">
        <v>250000</v>
      </c>
      <c r="F100" s="48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151">
        <f t="shared" si="48"/>
        <v>250000</v>
      </c>
      <c r="R100" s="152"/>
      <c r="S100" s="151"/>
      <c r="T100" s="152"/>
      <c r="U100" s="151"/>
      <c r="V100" s="152"/>
    </row>
    <row r="101" spans="1:22" s="3" customFormat="1" ht="15">
      <c r="A101" s="52" t="s">
        <v>130</v>
      </c>
      <c r="B101" s="6" t="s">
        <v>172</v>
      </c>
      <c r="C101" s="47">
        <v>1710000</v>
      </c>
      <c r="D101" s="48"/>
      <c r="E101" s="48">
        <v>113000</v>
      </c>
      <c r="F101" s="48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151">
        <f t="shared" si="48"/>
        <v>113000</v>
      </c>
      <c r="R101" s="152">
        <f t="shared" si="45"/>
        <v>0.06608187134502924</v>
      </c>
      <c r="S101" s="151">
        <f t="shared" si="46"/>
        <v>1597000</v>
      </c>
      <c r="T101" s="152">
        <f t="shared" si="47"/>
        <v>0.9339181286549708</v>
      </c>
      <c r="U101" s="151">
        <f t="shared" si="49"/>
        <v>1597000</v>
      </c>
      <c r="V101" s="152">
        <f t="shared" si="50"/>
        <v>0.9339181286549708</v>
      </c>
    </row>
    <row r="102" spans="1:22" s="3" customFormat="1" ht="30">
      <c r="A102" s="93" t="s">
        <v>208</v>
      </c>
      <c r="B102" s="14" t="s">
        <v>209</v>
      </c>
      <c r="C102" s="47">
        <v>840000</v>
      </c>
      <c r="D102" s="48"/>
      <c r="E102" s="48">
        <v>0</v>
      </c>
      <c r="F102" s="48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151">
        <f t="shared" si="48"/>
        <v>0</v>
      </c>
      <c r="R102" s="152">
        <f t="shared" si="45"/>
        <v>0</v>
      </c>
      <c r="S102" s="151">
        <f t="shared" si="46"/>
        <v>840000</v>
      </c>
      <c r="T102" s="152">
        <f t="shared" si="47"/>
        <v>1</v>
      </c>
      <c r="U102" s="151">
        <f t="shared" si="49"/>
        <v>840000</v>
      </c>
      <c r="V102" s="152">
        <f t="shared" si="50"/>
        <v>1</v>
      </c>
    </row>
    <row r="103" spans="1:22" s="3" customFormat="1" ht="30" hidden="1">
      <c r="A103" s="93" t="s">
        <v>159</v>
      </c>
      <c r="B103" s="14" t="s">
        <v>158</v>
      </c>
      <c r="C103" s="47">
        <f>+D103*12</f>
        <v>0</v>
      </c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151">
        <f t="shared" si="48"/>
        <v>0</v>
      </c>
      <c r="R103" s="152" t="e">
        <f t="shared" si="45"/>
        <v>#DIV/0!</v>
      </c>
      <c r="S103" s="151">
        <f t="shared" si="46"/>
        <v>0</v>
      </c>
      <c r="T103" s="152" t="e">
        <f t="shared" si="47"/>
        <v>#DIV/0!</v>
      </c>
      <c r="U103" s="151">
        <f t="shared" si="49"/>
        <v>0</v>
      </c>
      <c r="V103" s="152" t="e">
        <f t="shared" si="50"/>
        <v>#DIV/0!</v>
      </c>
    </row>
    <row r="104" spans="1:22" s="3" customFormat="1" ht="15" hidden="1">
      <c r="A104" s="93" t="s">
        <v>197</v>
      </c>
      <c r="B104" s="67" t="s">
        <v>198</v>
      </c>
      <c r="C104" s="47">
        <f>+D104*12</f>
        <v>0</v>
      </c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151">
        <f t="shared" si="48"/>
        <v>0</v>
      </c>
      <c r="R104" s="152" t="e">
        <f t="shared" si="45"/>
        <v>#DIV/0!</v>
      </c>
      <c r="S104" s="151">
        <f t="shared" si="46"/>
        <v>0</v>
      </c>
      <c r="T104" s="152" t="e">
        <f t="shared" si="47"/>
        <v>#DIV/0!</v>
      </c>
      <c r="U104" s="151">
        <f t="shared" si="49"/>
        <v>0</v>
      </c>
      <c r="V104" s="152" t="e">
        <f t="shared" si="50"/>
        <v>#DIV/0!</v>
      </c>
    </row>
    <row r="105" spans="1:29" s="3" customFormat="1" ht="30" hidden="1">
      <c r="A105" s="93" t="s">
        <v>177</v>
      </c>
      <c r="B105" s="41" t="s">
        <v>281</v>
      </c>
      <c r="C105" s="47">
        <f>+D105*12</f>
        <v>0</v>
      </c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151">
        <f t="shared" si="48"/>
        <v>0</v>
      </c>
      <c r="R105" s="152" t="e">
        <f t="shared" si="45"/>
        <v>#DIV/0!</v>
      </c>
      <c r="S105" s="151">
        <f t="shared" si="46"/>
        <v>0</v>
      </c>
      <c r="T105" s="152" t="e">
        <f t="shared" si="47"/>
        <v>#DIV/0!</v>
      </c>
      <c r="U105" s="151">
        <f t="shared" si="49"/>
        <v>0</v>
      </c>
      <c r="V105" s="152" t="e">
        <f t="shared" si="50"/>
        <v>#DIV/0!</v>
      </c>
      <c r="W105" s="4"/>
      <c r="X105" s="4"/>
      <c r="Y105" s="4"/>
      <c r="Z105" s="4"/>
      <c r="AA105" s="4"/>
      <c r="AB105" s="4"/>
      <c r="AC105" s="4"/>
    </row>
    <row r="106" spans="1:29" s="3" customFormat="1" ht="15" hidden="1">
      <c r="A106" s="26"/>
      <c r="B106" s="6"/>
      <c r="C106" s="42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151">
        <f t="shared" si="48"/>
        <v>0</v>
      </c>
      <c r="R106" s="152" t="e">
        <f t="shared" si="45"/>
        <v>#DIV/0!</v>
      </c>
      <c r="S106" s="151">
        <f t="shared" si="46"/>
        <v>0</v>
      </c>
      <c r="T106" s="152" t="e">
        <f t="shared" si="47"/>
        <v>#DIV/0!</v>
      </c>
      <c r="U106" s="151">
        <f t="shared" si="49"/>
        <v>0</v>
      </c>
      <c r="V106" s="152" t="e">
        <f t="shared" si="50"/>
        <v>#DIV/0!</v>
      </c>
      <c r="W106" s="4"/>
      <c r="X106" s="4"/>
      <c r="Y106" s="4"/>
      <c r="Z106" s="4"/>
      <c r="AA106" s="4"/>
      <c r="AB106" s="4"/>
      <c r="AC106" s="4"/>
    </row>
    <row r="107" spans="1:29" s="3" customFormat="1" ht="15" hidden="1">
      <c r="A107" s="26"/>
      <c r="B107" s="14"/>
      <c r="C107" s="42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151">
        <f t="shared" si="48"/>
        <v>0</v>
      </c>
      <c r="R107" s="152" t="e">
        <f t="shared" si="45"/>
        <v>#DIV/0!</v>
      </c>
      <c r="S107" s="151">
        <f t="shared" si="46"/>
        <v>0</v>
      </c>
      <c r="T107" s="152" t="e">
        <f t="shared" si="47"/>
        <v>#DIV/0!</v>
      </c>
      <c r="U107" s="151">
        <f t="shared" si="49"/>
        <v>0</v>
      </c>
      <c r="V107" s="152" t="e">
        <f t="shared" si="50"/>
        <v>#DIV/0!</v>
      </c>
      <c r="W107" s="4"/>
      <c r="X107" s="4"/>
      <c r="Y107" s="4"/>
      <c r="Z107" s="4"/>
      <c r="AA107" s="4"/>
      <c r="AB107" s="4"/>
      <c r="AC107" s="4"/>
    </row>
    <row r="108" spans="1:29" s="3" customFormat="1" ht="30">
      <c r="A108" s="93" t="s">
        <v>159</v>
      </c>
      <c r="B108" s="14" t="s">
        <v>158</v>
      </c>
      <c r="C108" s="47">
        <v>900000</v>
      </c>
      <c r="D108" s="48"/>
      <c r="E108" s="48">
        <v>0</v>
      </c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151">
        <f t="shared" si="48"/>
        <v>0</v>
      </c>
      <c r="R108" s="152">
        <f>+Q108/C108</f>
        <v>0</v>
      </c>
      <c r="S108" s="151">
        <f aca="true" t="shared" si="51" ref="S108:S125">+C108-Q108</f>
        <v>900000</v>
      </c>
      <c r="T108" s="152">
        <f aca="true" t="shared" si="52" ref="T108:T126">+S108/C108</f>
        <v>1</v>
      </c>
      <c r="U108" s="151">
        <f>+C108-Q108</f>
        <v>900000</v>
      </c>
      <c r="V108" s="152">
        <f>+U108/C108</f>
        <v>1</v>
      </c>
      <c r="W108" s="4"/>
      <c r="X108" s="4"/>
      <c r="Y108" s="4"/>
      <c r="Z108" s="4"/>
      <c r="AA108" s="4"/>
      <c r="AB108" s="4"/>
      <c r="AC108" s="4"/>
    </row>
    <row r="109" spans="1:29" s="3" customFormat="1" ht="15">
      <c r="A109" s="93" t="s">
        <v>197</v>
      </c>
      <c r="B109" s="67" t="s">
        <v>198</v>
      </c>
      <c r="C109" s="47">
        <v>120000</v>
      </c>
      <c r="D109" s="48"/>
      <c r="E109" s="48">
        <v>75000</v>
      </c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151">
        <f t="shared" si="48"/>
        <v>75000</v>
      </c>
      <c r="R109" s="152">
        <f>+Q109/C109</f>
        <v>0.625</v>
      </c>
      <c r="S109" s="151">
        <f t="shared" si="51"/>
        <v>45000</v>
      </c>
      <c r="T109" s="152">
        <f t="shared" si="52"/>
        <v>0.375</v>
      </c>
      <c r="U109" s="151">
        <f>+C109-Q109</f>
        <v>45000</v>
      </c>
      <c r="V109" s="152">
        <f>+U109/C109</f>
        <v>0.375</v>
      </c>
      <c r="W109" s="4"/>
      <c r="X109" s="4"/>
      <c r="Y109" s="4"/>
      <c r="Z109" s="4"/>
      <c r="AA109" s="4"/>
      <c r="AB109" s="4"/>
      <c r="AC109" s="4"/>
    </row>
    <row r="110" spans="1:29" s="3" customFormat="1" ht="30">
      <c r="A110" s="93" t="s">
        <v>177</v>
      </c>
      <c r="B110" s="41" t="s">
        <v>281</v>
      </c>
      <c r="C110" s="47">
        <v>348000</v>
      </c>
      <c r="D110" s="48"/>
      <c r="E110" s="48">
        <v>28975</v>
      </c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151">
        <f t="shared" si="48"/>
        <v>28975</v>
      </c>
      <c r="R110" s="152">
        <f>+Q110/C110</f>
        <v>0.08326149425287356</v>
      </c>
      <c r="S110" s="151">
        <f t="shared" si="51"/>
        <v>319025</v>
      </c>
      <c r="T110" s="152">
        <f t="shared" si="52"/>
        <v>0.9167385057471265</v>
      </c>
      <c r="U110" s="151">
        <f>+C110-Q110</f>
        <v>319025</v>
      </c>
      <c r="V110" s="152">
        <f>+U110/C110</f>
        <v>0.9167385057471265</v>
      </c>
      <c r="W110" s="4"/>
      <c r="X110" s="4"/>
      <c r="Y110" s="4"/>
      <c r="Z110" s="4"/>
      <c r="AA110" s="4"/>
      <c r="AB110" s="4"/>
      <c r="AC110" s="4"/>
    </row>
    <row r="111" spans="1:29" s="3" customFormat="1" ht="15">
      <c r="A111" s="23" t="s">
        <v>93</v>
      </c>
      <c r="B111" s="8" t="s">
        <v>94</v>
      </c>
      <c r="C111" s="79">
        <f>+C112+C113+C114+C115</f>
        <v>5602800</v>
      </c>
      <c r="D111" s="79"/>
      <c r="E111" s="79">
        <f aca="true" t="shared" si="53" ref="E111:P111">+E112+E113+E114+E115</f>
        <v>0</v>
      </c>
      <c r="F111" s="79">
        <f t="shared" si="53"/>
        <v>0</v>
      </c>
      <c r="G111" s="79">
        <f t="shared" si="53"/>
        <v>0</v>
      </c>
      <c r="H111" s="79">
        <f t="shared" si="53"/>
        <v>0</v>
      </c>
      <c r="I111" s="79">
        <f t="shared" si="53"/>
        <v>0</v>
      </c>
      <c r="J111" s="79">
        <f t="shared" si="53"/>
        <v>0</v>
      </c>
      <c r="K111" s="79">
        <f t="shared" si="53"/>
        <v>0</v>
      </c>
      <c r="L111" s="79">
        <f t="shared" si="53"/>
        <v>0</v>
      </c>
      <c r="M111" s="79">
        <f t="shared" si="53"/>
        <v>0</v>
      </c>
      <c r="N111" s="79">
        <f t="shared" si="53"/>
        <v>0</v>
      </c>
      <c r="O111" s="79">
        <f t="shared" si="53"/>
        <v>0</v>
      </c>
      <c r="P111" s="79">
        <f t="shared" si="53"/>
        <v>0</v>
      </c>
      <c r="Q111" s="83">
        <f>SUM(E111:P111)</f>
        <v>0</v>
      </c>
      <c r="R111" s="84">
        <f>+Q111/(C111+D111)</f>
        <v>0</v>
      </c>
      <c r="S111" s="83">
        <f t="shared" si="51"/>
        <v>5602800</v>
      </c>
      <c r="T111" s="84">
        <f t="shared" si="52"/>
        <v>1</v>
      </c>
      <c r="U111" s="83">
        <f>+C111+D111-Q111</f>
        <v>5602800</v>
      </c>
      <c r="V111" s="84">
        <f>+U111/C111</f>
        <v>1</v>
      </c>
      <c r="W111" s="4"/>
      <c r="X111" s="4"/>
      <c r="Y111" s="4"/>
      <c r="Z111" s="4"/>
      <c r="AA111" s="4"/>
      <c r="AB111" s="4"/>
      <c r="AC111" s="4"/>
    </row>
    <row r="112" spans="1:22" s="10" customFormat="1" ht="15">
      <c r="A112" s="138" t="s">
        <v>131</v>
      </c>
      <c r="B112" s="28" t="s">
        <v>194</v>
      </c>
      <c r="C112" s="47">
        <v>1092000</v>
      </c>
      <c r="D112" s="48"/>
      <c r="E112" s="48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151">
        <f t="shared" si="48"/>
        <v>0</v>
      </c>
      <c r="R112" s="152">
        <f aca="true" t="shared" si="54" ref="R112:R126">+Q112/C112</f>
        <v>0</v>
      </c>
      <c r="S112" s="151">
        <f t="shared" si="51"/>
        <v>1092000</v>
      </c>
      <c r="T112" s="152">
        <f t="shared" si="52"/>
        <v>1</v>
      </c>
      <c r="U112" s="151">
        <f>+C112-Q112</f>
        <v>1092000</v>
      </c>
      <c r="V112" s="152">
        <f aca="true" t="shared" si="55" ref="V112:V126">+U112/C112</f>
        <v>1</v>
      </c>
    </row>
    <row r="113" spans="1:22" s="10" customFormat="1" ht="15">
      <c r="A113" s="94" t="s">
        <v>282</v>
      </c>
      <c r="B113" s="36" t="s">
        <v>283</v>
      </c>
      <c r="C113" s="47">
        <v>1000800</v>
      </c>
      <c r="D113" s="48"/>
      <c r="E113" s="48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151">
        <f t="shared" si="48"/>
        <v>0</v>
      </c>
      <c r="R113" s="152">
        <f t="shared" si="54"/>
        <v>0</v>
      </c>
      <c r="S113" s="151">
        <f t="shared" si="51"/>
        <v>1000800</v>
      </c>
      <c r="T113" s="152">
        <f t="shared" si="52"/>
        <v>1</v>
      </c>
      <c r="U113" s="151">
        <f>+C113-Q113</f>
        <v>1000800</v>
      </c>
      <c r="V113" s="152">
        <f t="shared" si="55"/>
        <v>1</v>
      </c>
    </row>
    <row r="114" spans="1:22" s="10" customFormat="1" ht="30">
      <c r="A114" s="94" t="s">
        <v>143</v>
      </c>
      <c r="B114" s="36" t="s">
        <v>178</v>
      </c>
      <c r="C114" s="47">
        <v>2160000</v>
      </c>
      <c r="D114" s="48"/>
      <c r="E114" s="48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151">
        <f t="shared" si="48"/>
        <v>0</v>
      </c>
      <c r="R114" s="152">
        <f t="shared" si="54"/>
        <v>0</v>
      </c>
      <c r="S114" s="151">
        <f t="shared" si="51"/>
        <v>2160000</v>
      </c>
      <c r="T114" s="152">
        <f t="shared" si="52"/>
        <v>1</v>
      </c>
      <c r="U114" s="151">
        <f>+C114-Q114</f>
        <v>2160000</v>
      </c>
      <c r="V114" s="152">
        <f t="shared" si="55"/>
        <v>1</v>
      </c>
    </row>
    <row r="115" spans="1:22" s="15" customFormat="1" ht="15">
      <c r="A115" s="93" t="s">
        <v>141</v>
      </c>
      <c r="B115" s="67" t="s">
        <v>284</v>
      </c>
      <c r="C115" s="47">
        <v>1350000</v>
      </c>
      <c r="D115" s="48"/>
      <c r="E115" s="48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151">
        <f t="shared" si="48"/>
        <v>0</v>
      </c>
      <c r="R115" s="152">
        <f t="shared" si="54"/>
        <v>0</v>
      </c>
      <c r="S115" s="151">
        <f t="shared" si="51"/>
        <v>1350000</v>
      </c>
      <c r="T115" s="152">
        <f t="shared" si="52"/>
        <v>1</v>
      </c>
      <c r="U115" s="151">
        <f>+C115-Q115</f>
        <v>1350000</v>
      </c>
      <c r="V115" s="152">
        <f t="shared" si="55"/>
        <v>1</v>
      </c>
    </row>
    <row r="116" spans="1:22" s="15" customFormat="1" ht="15">
      <c r="A116" s="23" t="s">
        <v>285</v>
      </c>
      <c r="B116" s="23" t="s">
        <v>286</v>
      </c>
      <c r="C116" s="79">
        <f>+C117</f>
        <v>2400000</v>
      </c>
      <c r="D116" s="79"/>
      <c r="E116" s="79">
        <f aca="true" t="shared" si="56" ref="E116:P116">+E117</f>
        <v>0</v>
      </c>
      <c r="F116" s="79">
        <f t="shared" si="56"/>
        <v>0</v>
      </c>
      <c r="G116" s="79">
        <f t="shared" si="56"/>
        <v>0</v>
      </c>
      <c r="H116" s="79">
        <f t="shared" si="56"/>
        <v>0</v>
      </c>
      <c r="I116" s="79">
        <f t="shared" si="56"/>
        <v>0</v>
      </c>
      <c r="J116" s="79">
        <f t="shared" si="56"/>
        <v>0</v>
      </c>
      <c r="K116" s="79">
        <f t="shared" si="56"/>
        <v>0</v>
      </c>
      <c r="L116" s="79">
        <f t="shared" si="56"/>
        <v>0</v>
      </c>
      <c r="M116" s="79">
        <f t="shared" si="56"/>
        <v>0</v>
      </c>
      <c r="N116" s="79">
        <f t="shared" si="56"/>
        <v>0</v>
      </c>
      <c r="O116" s="79">
        <f t="shared" si="56"/>
        <v>0</v>
      </c>
      <c r="P116" s="79">
        <f t="shared" si="56"/>
        <v>0</v>
      </c>
      <c r="Q116" s="83">
        <f>SUM(E116:P116)</f>
        <v>0</v>
      </c>
      <c r="R116" s="84">
        <f t="shared" si="54"/>
        <v>0</v>
      </c>
      <c r="S116" s="83">
        <f t="shared" si="51"/>
        <v>2400000</v>
      </c>
      <c r="T116" s="84">
        <f t="shared" si="52"/>
        <v>1</v>
      </c>
      <c r="U116" s="83">
        <f>+U117</f>
        <v>2400000</v>
      </c>
      <c r="V116" s="85">
        <f t="shared" si="55"/>
        <v>1</v>
      </c>
    </row>
    <row r="117" spans="1:22" s="15" customFormat="1" ht="15">
      <c r="A117" s="140" t="s">
        <v>145</v>
      </c>
      <c r="B117" s="28" t="s">
        <v>144</v>
      </c>
      <c r="C117" s="42">
        <v>2400000</v>
      </c>
      <c r="D117" s="48"/>
      <c r="E117" s="48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151">
        <f t="shared" si="48"/>
        <v>0</v>
      </c>
      <c r="R117" s="152">
        <f t="shared" si="54"/>
        <v>0</v>
      </c>
      <c r="S117" s="151">
        <f t="shared" si="51"/>
        <v>2400000</v>
      </c>
      <c r="T117" s="152">
        <f t="shared" si="52"/>
        <v>1</v>
      </c>
      <c r="U117" s="151">
        <f>+C117-Q117</f>
        <v>2400000</v>
      </c>
      <c r="V117" s="152">
        <f t="shared" si="55"/>
        <v>1</v>
      </c>
    </row>
    <row r="118" spans="1:22" s="15" customFormat="1" ht="15">
      <c r="A118" s="23" t="s">
        <v>287</v>
      </c>
      <c r="B118" s="23" t="s">
        <v>288</v>
      </c>
      <c r="C118" s="79">
        <f>+C119</f>
        <v>603067.44</v>
      </c>
      <c r="D118" s="79"/>
      <c r="E118" s="79">
        <f aca="true" t="shared" si="57" ref="E118:P118">+E119</f>
        <v>0</v>
      </c>
      <c r="F118" s="79">
        <f t="shared" si="57"/>
        <v>0</v>
      </c>
      <c r="G118" s="79">
        <f t="shared" si="57"/>
        <v>0</v>
      </c>
      <c r="H118" s="79">
        <f t="shared" si="57"/>
        <v>0</v>
      </c>
      <c r="I118" s="79">
        <f t="shared" si="57"/>
        <v>0</v>
      </c>
      <c r="J118" s="79">
        <f t="shared" si="57"/>
        <v>0</v>
      </c>
      <c r="K118" s="79">
        <f t="shared" si="57"/>
        <v>0</v>
      </c>
      <c r="L118" s="79">
        <f t="shared" si="57"/>
        <v>0</v>
      </c>
      <c r="M118" s="79">
        <f t="shared" si="57"/>
        <v>0</v>
      </c>
      <c r="N118" s="79">
        <f t="shared" si="57"/>
        <v>0</v>
      </c>
      <c r="O118" s="79">
        <f t="shared" si="57"/>
        <v>0</v>
      </c>
      <c r="P118" s="79">
        <f t="shared" si="57"/>
        <v>0</v>
      </c>
      <c r="Q118" s="83">
        <f>SUM(E118:P118)</f>
        <v>0</v>
      </c>
      <c r="R118" s="84">
        <f t="shared" si="54"/>
        <v>0</v>
      </c>
      <c r="S118" s="83">
        <f t="shared" si="51"/>
        <v>603067.44</v>
      </c>
      <c r="T118" s="84">
        <f t="shared" si="52"/>
        <v>1</v>
      </c>
      <c r="U118" s="83">
        <f>+U119</f>
        <v>603067.44</v>
      </c>
      <c r="V118" s="85">
        <f t="shared" si="55"/>
        <v>1</v>
      </c>
    </row>
    <row r="119" spans="1:22" s="15" customFormat="1" ht="15">
      <c r="A119" s="140" t="s">
        <v>135</v>
      </c>
      <c r="B119" s="28" t="s">
        <v>136</v>
      </c>
      <c r="C119" s="42">
        <v>603067.44</v>
      </c>
      <c r="D119" s="48"/>
      <c r="E119" s="48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151">
        <f t="shared" si="48"/>
        <v>0</v>
      </c>
      <c r="R119" s="152">
        <f t="shared" si="54"/>
        <v>0</v>
      </c>
      <c r="S119" s="151">
        <f t="shared" si="51"/>
        <v>603067.44</v>
      </c>
      <c r="T119" s="152">
        <f t="shared" si="52"/>
        <v>1</v>
      </c>
      <c r="U119" s="151">
        <f>+C119-Q119</f>
        <v>603067.44</v>
      </c>
      <c r="V119" s="152">
        <f t="shared" si="55"/>
        <v>1</v>
      </c>
    </row>
    <row r="120" spans="1:22" s="15" customFormat="1" ht="15">
      <c r="A120" s="23" t="s">
        <v>299</v>
      </c>
      <c r="B120" s="23" t="s">
        <v>300</v>
      </c>
      <c r="C120" s="79">
        <f>+C121</f>
        <v>150000</v>
      </c>
      <c r="D120" s="79"/>
      <c r="E120" s="79">
        <f aca="true" t="shared" si="58" ref="E120:P120">+E121</f>
        <v>97066.25</v>
      </c>
      <c r="F120" s="79">
        <f t="shared" si="58"/>
        <v>0</v>
      </c>
      <c r="G120" s="79">
        <f t="shared" si="58"/>
        <v>0</v>
      </c>
      <c r="H120" s="79">
        <f t="shared" si="58"/>
        <v>0</v>
      </c>
      <c r="I120" s="79">
        <f t="shared" si="58"/>
        <v>0</v>
      </c>
      <c r="J120" s="79">
        <f t="shared" si="58"/>
        <v>0</v>
      </c>
      <c r="K120" s="79">
        <f t="shared" si="58"/>
        <v>0</v>
      </c>
      <c r="L120" s="79">
        <f t="shared" si="58"/>
        <v>0</v>
      </c>
      <c r="M120" s="79">
        <f t="shared" si="58"/>
        <v>0</v>
      </c>
      <c r="N120" s="79">
        <f t="shared" si="58"/>
        <v>0</v>
      </c>
      <c r="O120" s="79">
        <f t="shared" si="58"/>
        <v>0</v>
      </c>
      <c r="P120" s="79">
        <f t="shared" si="58"/>
        <v>0</v>
      </c>
      <c r="Q120" s="83">
        <f>SUM(E120:P120)</f>
        <v>97066.25</v>
      </c>
      <c r="R120" s="84">
        <f>+Q120/C120</f>
        <v>0.6471083333333333</v>
      </c>
      <c r="S120" s="83">
        <f>+C120-Q120</f>
        <v>52933.75</v>
      </c>
      <c r="T120" s="84">
        <f>+S120/C120</f>
        <v>0.35289166666666666</v>
      </c>
      <c r="U120" s="83">
        <f>+U121</f>
        <v>52933.75</v>
      </c>
      <c r="V120" s="85">
        <f>+U120/C120</f>
        <v>0.35289166666666666</v>
      </c>
    </row>
    <row r="121" spans="1:22" s="15" customFormat="1" ht="15">
      <c r="A121" s="140" t="s">
        <v>199</v>
      </c>
      <c r="B121" s="28" t="s">
        <v>200</v>
      </c>
      <c r="C121" s="42">
        <v>150000</v>
      </c>
      <c r="D121" s="48"/>
      <c r="E121" s="48">
        <v>97066.25</v>
      </c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151">
        <f t="shared" si="48"/>
        <v>97066.25</v>
      </c>
      <c r="R121" s="152">
        <f t="shared" si="54"/>
        <v>0.6471083333333333</v>
      </c>
      <c r="S121" s="151">
        <f t="shared" si="51"/>
        <v>52933.75</v>
      </c>
      <c r="T121" s="152">
        <f t="shared" si="52"/>
        <v>0.35289166666666666</v>
      </c>
      <c r="U121" s="151">
        <f>+C121-Q121</f>
        <v>52933.75</v>
      </c>
      <c r="V121" s="152">
        <f t="shared" si="55"/>
        <v>0.35289166666666666</v>
      </c>
    </row>
    <row r="122" spans="1:22" s="15" customFormat="1" ht="15">
      <c r="A122" s="23" t="s">
        <v>160</v>
      </c>
      <c r="B122" s="23" t="s">
        <v>181</v>
      </c>
      <c r="C122" s="79">
        <f>+C123</f>
        <v>12290000</v>
      </c>
      <c r="D122" s="79"/>
      <c r="E122" s="79">
        <f aca="true" t="shared" si="59" ref="E122:P122">+E123</f>
        <v>0</v>
      </c>
      <c r="F122" s="79">
        <f t="shared" si="59"/>
        <v>0</v>
      </c>
      <c r="G122" s="79">
        <f t="shared" si="59"/>
        <v>0</v>
      </c>
      <c r="H122" s="79">
        <f t="shared" si="59"/>
        <v>0</v>
      </c>
      <c r="I122" s="79">
        <f t="shared" si="59"/>
        <v>0</v>
      </c>
      <c r="J122" s="79">
        <f t="shared" si="59"/>
        <v>0</v>
      </c>
      <c r="K122" s="79">
        <f t="shared" si="59"/>
        <v>0</v>
      </c>
      <c r="L122" s="79">
        <f t="shared" si="59"/>
        <v>0</v>
      </c>
      <c r="M122" s="79">
        <f t="shared" si="59"/>
        <v>0</v>
      </c>
      <c r="N122" s="79">
        <f t="shared" si="59"/>
        <v>0</v>
      </c>
      <c r="O122" s="79">
        <f t="shared" si="59"/>
        <v>0</v>
      </c>
      <c r="P122" s="79">
        <f t="shared" si="59"/>
        <v>0</v>
      </c>
      <c r="Q122" s="83">
        <f>SUM(E122:P122)</f>
        <v>0</v>
      </c>
      <c r="R122" s="84">
        <f t="shared" si="54"/>
        <v>0</v>
      </c>
      <c r="S122" s="83">
        <f t="shared" si="51"/>
        <v>12290000</v>
      </c>
      <c r="T122" s="84">
        <f t="shared" si="52"/>
        <v>1</v>
      </c>
      <c r="U122" s="83">
        <f>+U123</f>
        <v>12290000</v>
      </c>
      <c r="V122" s="85">
        <f t="shared" si="55"/>
        <v>1</v>
      </c>
    </row>
    <row r="123" spans="1:22" s="15" customFormat="1" ht="15">
      <c r="A123" s="140" t="s">
        <v>146</v>
      </c>
      <c r="B123" s="28" t="s">
        <v>147</v>
      </c>
      <c r="C123" s="42">
        <f>15000000-2710000</f>
        <v>12290000</v>
      </c>
      <c r="D123" s="48"/>
      <c r="E123" s="48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151">
        <f t="shared" si="48"/>
        <v>0</v>
      </c>
      <c r="R123" s="152">
        <f t="shared" si="54"/>
        <v>0</v>
      </c>
      <c r="S123" s="151">
        <f t="shared" si="51"/>
        <v>12290000</v>
      </c>
      <c r="T123" s="152">
        <f t="shared" si="52"/>
        <v>1</v>
      </c>
      <c r="U123" s="151">
        <f>+C123-Q123</f>
        <v>12290000</v>
      </c>
      <c r="V123" s="152">
        <f t="shared" si="55"/>
        <v>1</v>
      </c>
    </row>
    <row r="124" spans="1:22" s="15" customFormat="1" ht="15">
      <c r="A124" s="23" t="s">
        <v>179</v>
      </c>
      <c r="B124" s="8" t="s">
        <v>180</v>
      </c>
      <c r="C124" s="79">
        <f>+C125</f>
        <v>2004000</v>
      </c>
      <c r="D124" s="79"/>
      <c r="E124" s="79">
        <f aca="true" t="shared" si="60" ref="E124:P124">+E125</f>
        <v>160000</v>
      </c>
      <c r="F124" s="79">
        <f t="shared" si="60"/>
        <v>0</v>
      </c>
      <c r="G124" s="79">
        <f t="shared" si="60"/>
        <v>0</v>
      </c>
      <c r="H124" s="79">
        <f t="shared" si="60"/>
        <v>0</v>
      </c>
      <c r="I124" s="79">
        <f t="shared" si="60"/>
        <v>0</v>
      </c>
      <c r="J124" s="79">
        <f t="shared" si="60"/>
        <v>0</v>
      </c>
      <c r="K124" s="79">
        <f t="shared" si="60"/>
        <v>0</v>
      </c>
      <c r="L124" s="79">
        <f t="shared" si="60"/>
        <v>0</v>
      </c>
      <c r="M124" s="79">
        <f t="shared" si="60"/>
        <v>0</v>
      </c>
      <c r="N124" s="79">
        <f t="shared" si="60"/>
        <v>0</v>
      </c>
      <c r="O124" s="79">
        <f t="shared" si="60"/>
        <v>0</v>
      </c>
      <c r="P124" s="79">
        <f t="shared" si="60"/>
        <v>0</v>
      </c>
      <c r="Q124" s="83">
        <f>SUM(E124:P124)</f>
        <v>160000</v>
      </c>
      <c r="R124" s="84">
        <f t="shared" si="54"/>
        <v>0.07984031936127745</v>
      </c>
      <c r="S124" s="83">
        <f t="shared" si="51"/>
        <v>1844000</v>
      </c>
      <c r="T124" s="84">
        <f t="shared" si="52"/>
        <v>0.9201596806387226</v>
      </c>
      <c r="U124" s="83">
        <f>+U125</f>
        <v>1844000</v>
      </c>
      <c r="V124" s="85">
        <f t="shared" si="55"/>
        <v>0.9201596806387226</v>
      </c>
    </row>
    <row r="125" spans="1:22" s="15" customFormat="1" ht="15">
      <c r="A125" s="140" t="s">
        <v>183</v>
      </c>
      <c r="B125" s="28" t="s">
        <v>182</v>
      </c>
      <c r="C125" s="42">
        <v>2004000</v>
      </c>
      <c r="D125" s="48"/>
      <c r="E125" s="48">
        <v>160000</v>
      </c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151">
        <f>SUM(E125:P125)</f>
        <v>160000</v>
      </c>
      <c r="R125" s="152">
        <f t="shared" si="54"/>
        <v>0.07984031936127745</v>
      </c>
      <c r="S125" s="151">
        <f t="shared" si="51"/>
        <v>1844000</v>
      </c>
      <c r="T125" s="152">
        <f t="shared" si="52"/>
        <v>0.9201596806387226</v>
      </c>
      <c r="U125" s="151">
        <f>+C125-Q125</f>
        <v>1844000</v>
      </c>
      <c r="V125" s="152">
        <f t="shared" si="55"/>
        <v>0.9201596806387226</v>
      </c>
    </row>
    <row r="126" spans="1:22" s="16" customFormat="1" ht="15.75">
      <c r="A126" s="161" t="s">
        <v>95</v>
      </c>
      <c r="B126" s="161"/>
      <c r="C126" s="86">
        <f>+C124+C122+C120+C118+C116+C111+C96+C85+C74+C71+C68+C64+C55+C51+C47+C44+C42+C39+C37+C34+C32+C25+C15</f>
        <v>1490751720</v>
      </c>
      <c r="D126" s="86"/>
      <c r="E126" s="86">
        <f>+E124+E122+E120+E118+E116+E111+E96+E85+E74+E71+E68+E64+E55+E51+E47+E44+E42+E39+E34+E25+E15+E37+E32</f>
        <v>125368073.99</v>
      </c>
      <c r="F126" s="86">
        <f aca="true" t="shared" si="61" ref="F126:P126">+F124+F122+F120+F118+F116+F111+F96+F85+F74+F71+F68+F64+F55+F51+F47+F44+F42+F39+F34+F25+F15</f>
        <v>0</v>
      </c>
      <c r="G126" s="86">
        <f t="shared" si="61"/>
        <v>0</v>
      </c>
      <c r="H126" s="86">
        <f t="shared" si="61"/>
        <v>0</v>
      </c>
      <c r="I126" s="86">
        <f t="shared" si="61"/>
        <v>0</v>
      </c>
      <c r="J126" s="86">
        <f t="shared" si="61"/>
        <v>0</v>
      </c>
      <c r="K126" s="86">
        <f t="shared" si="61"/>
        <v>0</v>
      </c>
      <c r="L126" s="86">
        <f t="shared" si="61"/>
        <v>0</v>
      </c>
      <c r="M126" s="86">
        <f t="shared" si="61"/>
        <v>0</v>
      </c>
      <c r="N126" s="86">
        <f t="shared" si="61"/>
        <v>0</v>
      </c>
      <c r="O126" s="86">
        <f t="shared" si="61"/>
        <v>0</v>
      </c>
      <c r="P126" s="86">
        <f t="shared" si="61"/>
        <v>0</v>
      </c>
      <c r="Q126" s="87">
        <f>SUM(E126:O126)</f>
        <v>125368073.99</v>
      </c>
      <c r="R126" s="88">
        <f t="shared" si="54"/>
        <v>0.08409721907951244</v>
      </c>
      <c r="S126" s="89" t="e">
        <f>+S111+#REF!+S96+S85+S74+#REF!+#REF!+#REF!+S68+S55+S51+S44+S42+S39+S37+S34+S32+S25+S15+S64</f>
        <v>#REF!</v>
      </c>
      <c r="T126" s="88" t="e">
        <f t="shared" si="52"/>
        <v>#REF!</v>
      </c>
      <c r="U126" s="136">
        <f>+U124+U122+U120+U118+U116+U111+U96+U8</f>
        <v>27477826.189999998</v>
      </c>
      <c r="V126" s="90">
        <f t="shared" si="55"/>
        <v>0.018432194859382755</v>
      </c>
    </row>
    <row r="127" spans="1:22" ht="15">
      <c r="A127" s="13"/>
      <c r="B127" s="32"/>
      <c r="C127" s="70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91"/>
      <c r="R127" s="92"/>
      <c r="S127" s="91"/>
      <c r="T127" s="92"/>
      <c r="U127" s="91"/>
      <c r="V127" s="92"/>
    </row>
    <row r="128" spans="3:22" s="18" customFormat="1" ht="15">
      <c r="C128" s="71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P128" s="22"/>
      <c r="Q128" s="22"/>
      <c r="R128" s="22"/>
      <c r="S128" s="22"/>
      <c r="T128" s="137"/>
      <c r="U128" s="22"/>
      <c r="V128" s="22"/>
    </row>
    <row r="129" spans="3:22" s="18" customFormat="1" ht="15">
      <c r="C129" s="71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137"/>
      <c r="U129" s="22"/>
      <c r="V129" s="22"/>
    </row>
    <row r="130" spans="3:22" s="18" customFormat="1" ht="15">
      <c r="C130" s="71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137"/>
      <c r="U130" s="22"/>
      <c r="V130" s="22"/>
    </row>
    <row r="131" spans="1:22" ht="15">
      <c r="A131" s="18"/>
      <c r="B131" s="18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19"/>
      <c r="U131" s="25"/>
      <c r="V131" s="25"/>
    </row>
    <row r="132" spans="1:22" ht="20.25">
      <c r="A132" s="158" t="s">
        <v>212</v>
      </c>
      <c r="B132" s="158"/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</row>
    <row r="133" spans="1:21" ht="18">
      <c r="A133" s="20"/>
      <c r="B133" s="21"/>
      <c r="C133" s="71"/>
      <c r="E133" s="22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22"/>
      <c r="R133" s="22"/>
      <c r="U133" s="22"/>
    </row>
    <row r="134" spans="3:5" s="18" customFormat="1" ht="15">
      <c r="C134" s="71"/>
      <c r="E134" s="22"/>
    </row>
    <row r="135" spans="3:5" s="18" customFormat="1" ht="15">
      <c r="C135" s="71"/>
      <c r="E135" s="22"/>
    </row>
    <row r="136" s="18" customFormat="1" ht="15">
      <c r="C136" s="71"/>
    </row>
    <row r="137" s="18" customFormat="1" ht="15">
      <c r="C137" s="71"/>
    </row>
    <row r="138" s="18" customFormat="1" ht="15">
      <c r="C138" s="71"/>
    </row>
    <row r="139" spans="3:22" ht="15">
      <c r="C139" s="71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U139" s="4"/>
      <c r="V139" s="4"/>
    </row>
    <row r="140" spans="3:22" ht="15">
      <c r="C140" s="71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U140" s="4"/>
      <c r="V140" s="4"/>
    </row>
    <row r="141" spans="3:22" ht="15">
      <c r="C141" s="71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U141" s="4"/>
      <c r="V141" s="4"/>
    </row>
  </sheetData>
  <sheetProtection/>
  <mergeCells count="11">
    <mergeCell ref="B13:B14"/>
    <mergeCell ref="B3:B4"/>
    <mergeCell ref="A5:V5"/>
    <mergeCell ref="A6:V6"/>
    <mergeCell ref="A7:V7"/>
    <mergeCell ref="A8:V8"/>
    <mergeCell ref="A132:V132"/>
    <mergeCell ref="A13:A14"/>
    <mergeCell ref="A9:V9"/>
    <mergeCell ref="A126:B126"/>
    <mergeCell ref="E13:P13"/>
  </mergeCells>
  <printOptions/>
  <pageMargins left="0.17" right="0.17" top="0.26" bottom="0.22" header="0.23" footer="0.17"/>
  <pageSetup horizontalDpi="600" verticalDpi="600" orientation="landscape" paperSize="153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0"/>
  <sheetViews>
    <sheetView zoomScalePageLayoutView="0" workbookViewId="0" topLeftCell="A99">
      <selection activeCell="F120" sqref="F120"/>
    </sheetView>
  </sheetViews>
  <sheetFormatPr defaultColWidth="11.421875" defaultRowHeight="15"/>
  <cols>
    <col min="1" max="1" width="9.28125" style="0" bestFit="1" customWidth="1"/>
    <col min="2" max="2" width="67.00390625" style="0" customWidth="1"/>
    <col min="3" max="3" width="16.8515625" style="99" customWidth="1"/>
    <col min="4" max="4" width="17.57421875" style="123" customWidth="1"/>
    <col min="5" max="5" width="15.140625" style="129" bestFit="1" customWidth="1"/>
    <col min="6" max="7" width="15.140625" style="129" customWidth="1"/>
    <col min="8" max="8" width="13.421875" style="0" bestFit="1" customWidth="1"/>
  </cols>
  <sheetData>
    <row r="1" spans="1:36" ht="15">
      <c r="A1" s="4"/>
      <c r="B1" s="4"/>
      <c r="C1" s="68"/>
      <c r="D1" s="71"/>
      <c r="E1" s="71"/>
      <c r="F1" s="71"/>
      <c r="G1" s="71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4"/>
      <c r="AH1" s="4"/>
      <c r="AI1" s="18"/>
      <c r="AJ1" s="18"/>
    </row>
    <row r="2" spans="1:36" ht="15">
      <c r="A2" s="4"/>
      <c r="B2" s="4"/>
      <c r="C2" s="68"/>
      <c r="D2" s="71"/>
      <c r="E2" s="71"/>
      <c r="F2" s="71"/>
      <c r="G2" s="71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4"/>
      <c r="AH2" s="4"/>
      <c r="AI2" s="18"/>
      <c r="AJ2" s="18"/>
    </row>
    <row r="3" spans="1:36" ht="15">
      <c r="A3" s="2"/>
      <c r="B3" s="155"/>
      <c r="C3" s="69"/>
      <c r="D3" s="120"/>
      <c r="E3" s="120"/>
      <c r="F3" s="120"/>
      <c r="G3" s="12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3"/>
      <c r="AH3" s="3"/>
      <c r="AI3" s="2"/>
      <c r="AJ3" s="2"/>
    </row>
    <row r="4" spans="1:36" ht="15">
      <c r="A4" s="2"/>
      <c r="B4" s="155"/>
      <c r="C4" s="69"/>
      <c r="D4" s="120"/>
      <c r="E4" s="120"/>
      <c r="F4" s="120"/>
      <c r="G4" s="1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3"/>
      <c r="AH4" s="3"/>
      <c r="AI4" s="2"/>
      <c r="AJ4" s="2"/>
    </row>
    <row r="5" spans="1:36" ht="18.75">
      <c r="A5" s="156" t="s">
        <v>0</v>
      </c>
      <c r="B5" s="156"/>
      <c r="C5" s="156"/>
      <c r="D5" s="121"/>
      <c r="E5" s="121"/>
      <c r="F5" s="121"/>
      <c r="G5" s="121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</row>
    <row r="6" spans="1:36" ht="21">
      <c r="A6" s="157" t="s">
        <v>1</v>
      </c>
      <c r="B6" s="157"/>
      <c r="C6" s="157"/>
      <c r="D6" s="122"/>
      <c r="E6" s="122"/>
      <c r="F6" s="122"/>
      <c r="G6" s="122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</row>
    <row r="7" spans="1:36" ht="18.75">
      <c r="A7" s="156" t="s">
        <v>2</v>
      </c>
      <c r="B7" s="156"/>
      <c r="C7" s="156"/>
      <c r="D7" s="121"/>
      <c r="E7" s="121"/>
      <c r="F7" s="121"/>
      <c r="G7" s="121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</row>
    <row r="8" spans="1:36" ht="21">
      <c r="A8" s="157" t="s">
        <v>3</v>
      </c>
      <c r="B8" s="157"/>
      <c r="C8" s="157"/>
      <c r="D8" s="122"/>
      <c r="E8" s="122"/>
      <c r="F8" s="122"/>
      <c r="G8" s="122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</row>
    <row r="9" spans="1:36" ht="18.75">
      <c r="A9" s="156" t="s">
        <v>213</v>
      </c>
      <c r="B9" s="156"/>
      <c r="C9" s="156"/>
      <c r="D9" s="121"/>
      <c r="E9" s="121"/>
      <c r="F9" s="121"/>
      <c r="G9" s="121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</row>
    <row r="10" ht="15.75" thickBot="1"/>
    <row r="11" spans="1:4" ht="16.5" thickBot="1">
      <c r="A11" s="174" t="s">
        <v>226</v>
      </c>
      <c r="B11" s="175"/>
      <c r="C11" s="176"/>
      <c r="D11" s="124"/>
    </row>
    <row r="12" spans="1:3" ht="15.75">
      <c r="A12" s="97" t="s">
        <v>214</v>
      </c>
      <c r="B12" s="97" t="s">
        <v>215</v>
      </c>
      <c r="C12" s="98" t="s">
        <v>216</v>
      </c>
    </row>
    <row r="13" spans="1:4" ht="15">
      <c r="A13" s="103" t="s">
        <v>203</v>
      </c>
      <c r="B13" s="103" t="s">
        <v>217</v>
      </c>
      <c r="C13" s="105">
        <v>68775000</v>
      </c>
      <c r="D13" s="125" t="s">
        <v>11</v>
      </c>
    </row>
    <row r="14" spans="1:4" ht="15.75" thickBot="1">
      <c r="A14" s="103"/>
      <c r="B14" s="112" t="s">
        <v>246</v>
      </c>
      <c r="C14" s="113">
        <f>SUM(C13)</f>
        <v>68775000</v>
      </c>
      <c r="D14" s="125"/>
    </row>
    <row r="15" spans="1:4" ht="15.75" thickTop="1">
      <c r="A15" s="103"/>
      <c r="B15" s="112"/>
      <c r="C15" s="114"/>
      <c r="D15" s="125"/>
    </row>
    <row r="16" spans="1:4" ht="15">
      <c r="A16" s="103"/>
      <c r="B16" s="112"/>
      <c r="C16" s="114"/>
      <c r="D16" s="125"/>
    </row>
    <row r="17" spans="1:4" ht="15.75">
      <c r="A17" s="173" t="s">
        <v>227</v>
      </c>
      <c r="B17" s="173"/>
      <c r="C17" s="173"/>
      <c r="D17" s="173"/>
    </row>
    <row r="18" spans="1:4" ht="15.75">
      <c r="A18" s="115" t="s">
        <v>214</v>
      </c>
      <c r="B18" s="115" t="s">
        <v>215</v>
      </c>
      <c r="C18" s="116" t="s">
        <v>216</v>
      </c>
      <c r="D18" s="125"/>
    </row>
    <row r="19" spans="1:4" ht="15">
      <c r="A19" s="103" t="s">
        <v>112</v>
      </c>
      <c r="B19" s="103" t="s">
        <v>218</v>
      </c>
      <c r="C19" s="104">
        <v>2682842.32</v>
      </c>
      <c r="D19" s="125" t="s">
        <v>12</v>
      </c>
    </row>
    <row r="20" spans="1:4" ht="15.75" thickBot="1">
      <c r="A20" s="103"/>
      <c r="B20" s="112" t="s">
        <v>246</v>
      </c>
      <c r="C20" s="113">
        <f>SUM(C19)</f>
        <v>2682842.32</v>
      </c>
      <c r="D20" s="125"/>
    </row>
    <row r="21" spans="1:4" ht="15.75" thickTop="1">
      <c r="A21" s="103"/>
      <c r="B21" s="103"/>
      <c r="C21" s="104"/>
      <c r="D21" s="125"/>
    </row>
    <row r="22" spans="1:4" ht="15.75" thickBot="1">
      <c r="A22" s="103"/>
      <c r="B22" s="103"/>
      <c r="C22" s="104"/>
      <c r="D22" s="125"/>
    </row>
    <row r="23" spans="1:4" ht="16.5" thickBot="1">
      <c r="A23" s="167" t="s">
        <v>228</v>
      </c>
      <c r="B23" s="168"/>
      <c r="C23" s="169"/>
      <c r="D23" s="126"/>
    </row>
    <row r="24" spans="1:4" ht="15.75">
      <c r="A24" s="115" t="s">
        <v>214</v>
      </c>
      <c r="B24" s="115" t="s">
        <v>215</v>
      </c>
      <c r="C24" s="116" t="s">
        <v>216</v>
      </c>
      <c r="D24" s="125"/>
    </row>
    <row r="25" spans="1:4" ht="15">
      <c r="A25" s="103" t="s">
        <v>119</v>
      </c>
      <c r="B25" s="103" t="s">
        <v>219</v>
      </c>
      <c r="C25" s="104">
        <v>252310</v>
      </c>
      <c r="D25" s="125" t="s">
        <v>220</v>
      </c>
    </row>
    <row r="26" spans="1:4" ht="15">
      <c r="A26" s="103" t="s">
        <v>99</v>
      </c>
      <c r="B26" s="103" t="s">
        <v>221</v>
      </c>
      <c r="C26" s="104">
        <v>185000</v>
      </c>
      <c r="D26" s="125" t="s">
        <v>13</v>
      </c>
    </row>
    <row r="27" spans="1:4" ht="15">
      <c r="A27" s="103" t="s">
        <v>171</v>
      </c>
      <c r="B27" s="103" t="s">
        <v>222</v>
      </c>
      <c r="C27" s="104">
        <v>28000</v>
      </c>
      <c r="D27" s="125" t="s">
        <v>13</v>
      </c>
    </row>
    <row r="28" spans="1:4" ht="15">
      <c r="A28" s="103" t="s">
        <v>223</v>
      </c>
      <c r="B28" s="103" t="s">
        <v>224</v>
      </c>
      <c r="C28" s="104">
        <v>2934070</v>
      </c>
      <c r="D28" s="125" t="s">
        <v>13</v>
      </c>
    </row>
    <row r="29" spans="1:4" ht="15.75" thickBot="1">
      <c r="A29" s="103"/>
      <c r="B29" s="112" t="s">
        <v>246</v>
      </c>
      <c r="C29" s="113">
        <f>SUM(C25:C28)</f>
        <v>3399380</v>
      </c>
      <c r="D29" s="125"/>
    </row>
    <row r="30" spans="1:4" ht="15.75" thickTop="1">
      <c r="A30" s="103"/>
      <c r="B30" s="112"/>
      <c r="C30" s="114"/>
      <c r="D30" s="125"/>
    </row>
    <row r="31" spans="1:4" ht="15.75" thickBot="1">
      <c r="A31" s="103"/>
      <c r="B31" s="112"/>
      <c r="C31" s="114"/>
      <c r="D31" s="125"/>
    </row>
    <row r="32" spans="1:4" ht="16.5" thickBot="1">
      <c r="A32" s="167" t="s">
        <v>229</v>
      </c>
      <c r="B32" s="168"/>
      <c r="C32" s="169"/>
      <c r="D32" s="126"/>
    </row>
    <row r="33" spans="1:4" ht="15.75">
      <c r="A33" s="115" t="s">
        <v>214</v>
      </c>
      <c r="B33" s="115" t="s">
        <v>215</v>
      </c>
      <c r="C33" s="116" t="s">
        <v>216</v>
      </c>
      <c r="D33" s="125"/>
    </row>
    <row r="34" spans="1:4" ht="15">
      <c r="A34" s="103" t="s">
        <v>96</v>
      </c>
      <c r="B34" s="103" t="s">
        <v>230</v>
      </c>
      <c r="C34" s="104">
        <v>7110500</v>
      </c>
      <c r="D34" s="125" t="s">
        <v>154</v>
      </c>
    </row>
    <row r="35" spans="1:4" ht="15">
      <c r="A35" s="103" t="s">
        <v>98</v>
      </c>
      <c r="B35" s="103" t="s">
        <v>225</v>
      </c>
      <c r="C35" s="104">
        <v>879590</v>
      </c>
      <c r="D35" s="125" t="s">
        <v>154</v>
      </c>
    </row>
    <row r="36" spans="1:4" ht="15">
      <c r="A36" s="103" t="s">
        <v>99</v>
      </c>
      <c r="B36" s="103" t="s">
        <v>221</v>
      </c>
      <c r="C36" s="104">
        <v>79160</v>
      </c>
      <c r="D36" s="125" t="s">
        <v>154</v>
      </c>
    </row>
    <row r="37" spans="1:4" ht="15">
      <c r="A37" s="103" t="s">
        <v>171</v>
      </c>
      <c r="B37" s="103" t="s">
        <v>222</v>
      </c>
      <c r="C37" s="104">
        <v>13389</v>
      </c>
      <c r="D37" s="125" t="s">
        <v>154</v>
      </c>
    </row>
    <row r="38" spans="1:4" ht="15">
      <c r="A38" s="103" t="s">
        <v>211</v>
      </c>
      <c r="B38" s="103" t="s">
        <v>231</v>
      </c>
      <c r="C38" s="104">
        <v>4995000</v>
      </c>
      <c r="D38" s="125" t="s">
        <v>233</v>
      </c>
    </row>
    <row r="39" spans="1:4" ht="15">
      <c r="A39" s="103" t="s">
        <v>98</v>
      </c>
      <c r="B39" s="103" t="s">
        <v>225</v>
      </c>
      <c r="C39" s="104">
        <v>801900</v>
      </c>
      <c r="D39" s="125" t="s">
        <v>233</v>
      </c>
    </row>
    <row r="40" spans="1:4" ht="15">
      <c r="A40" s="103" t="s">
        <v>193</v>
      </c>
      <c r="B40" s="103" t="s">
        <v>232</v>
      </c>
      <c r="C40" s="104">
        <v>999000</v>
      </c>
      <c r="D40" s="125" t="s">
        <v>233</v>
      </c>
    </row>
    <row r="41" spans="1:4" ht="15">
      <c r="A41" s="103" t="s">
        <v>210</v>
      </c>
      <c r="B41" s="103" t="s">
        <v>234</v>
      </c>
      <c r="C41" s="104">
        <v>108137075.33</v>
      </c>
      <c r="D41" s="125" t="s">
        <v>154</v>
      </c>
    </row>
    <row r="42" spans="1:4" ht="15.75" thickBot="1">
      <c r="A42" s="103"/>
      <c r="B42" s="112" t="s">
        <v>246</v>
      </c>
      <c r="C42" s="113">
        <f>SUM(C34:C41)</f>
        <v>123015614.33</v>
      </c>
      <c r="D42" s="125"/>
    </row>
    <row r="43" spans="1:4" ht="15.75" thickTop="1">
      <c r="A43" s="103"/>
      <c r="B43" s="103"/>
      <c r="C43" s="104"/>
      <c r="D43" s="125"/>
    </row>
    <row r="44" spans="1:4" ht="15">
      <c r="A44" s="103"/>
      <c r="B44" s="103"/>
      <c r="C44" s="104"/>
      <c r="D44" s="125"/>
    </row>
    <row r="45" spans="1:4" ht="15.75" thickBot="1">
      <c r="A45" s="103"/>
      <c r="B45" s="103"/>
      <c r="C45" s="104"/>
      <c r="D45" s="125"/>
    </row>
    <row r="46" spans="1:4" ht="16.5" thickBot="1">
      <c r="A46" s="167" t="s">
        <v>235</v>
      </c>
      <c r="B46" s="168"/>
      <c r="C46" s="169"/>
      <c r="D46" s="126"/>
    </row>
    <row r="47" spans="1:4" ht="15.75">
      <c r="A47" s="115" t="s">
        <v>214</v>
      </c>
      <c r="B47" s="115" t="s">
        <v>215</v>
      </c>
      <c r="C47" s="116" t="s">
        <v>216</v>
      </c>
      <c r="D47" s="125"/>
    </row>
    <row r="48" spans="1:4" ht="15">
      <c r="A48" s="103" t="s">
        <v>96</v>
      </c>
      <c r="B48" s="103" t="s">
        <v>230</v>
      </c>
      <c r="C48" s="104">
        <v>1900000</v>
      </c>
      <c r="D48" s="125"/>
    </row>
    <row r="49" spans="1:4" ht="15">
      <c r="A49" s="103" t="s">
        <v>99</v>
      </c>
      <c r="B49" s="103" t="s">
        <v>221</v>
      </c>
      <c r="C49" s="104">
        <v>55550</v>
      </c>
      <c r="D49" s="125"/>
    </row>
    <row r="50" spans="1:4" ht="15">
      <c r="A50" s="103" t="s">
        <v>171</v>
      </c>
      <c r="B50" s="103" t="s">
        <v>222</v>
      </c>
      <c r="C50" s="104">
        <v>9402</v>
      </c>
      <c r="D50" s="125"/>
    </row>
    <row r="51" spans="1:4" ht="15">
      <c r="A51" s="103" t="s">
        <v>98</v>
      </c>
      <c r="B51" s="103" t="s">
        <v>225</v>
      </c>
      <c r="C51" s="104">
        <v>330000</v>
      </c>
      <c r="D51" s="125"/>
    </row>
    <row r="52" spans="1:4" ht="15.75" thickBot="1">
      <c r="A52" s="103"/>
      <c r="B52" s="112" t="s">
        <v>246</v>
      </c>
      <c r="C52" s="113">
        <f>SUM(C48:C51)</f>
        <v>2294952</v>
      </c>
      <c r="D52" s="125"/>
    </row>
    <row r="53" spans="1:4" ht="15.75" thickTop="1">
      <c r="A53" s="103"/>
      <c r="B53" s="103"/>
      <c r="C53" s="104"/>
      <c r="D53" s="125"/>
    </row>
    <row r="54" spans="1:4" ht="15.75" thickBot="1">
      <c r="A54" s="103"/>
      <c r="B54" s="103"/>
      <c r="C54" s="104"/>
      <c r="D54" s="125"/>
    </row>
    <row r="55" spans="1:4" ht="16.5" thickBot="1">
      <c r="A55" s="167" t="s">
        <v>238</v>
      </c>
      <c r="B55" s="168"/>
      <c r="C55" s="169"/>
      <c r="D55" s="126"/>
    </row>
    <row r="56" spans="1:4" ht="15.75">
      <c r="A56" s="115" t="s">
        <v>214</v>
      </c>
      <c r="B56" s="115" t="s">
        <v>215</v>
      </c>
      <c r="C56" s="116" t="s">
        <v>216</v>
      </c>
      <c r="D56" s="125"/>
    </row>
    <row r="57" spans="1:4" ht="15">
      <c r="A57" s="103" t="s">
        <v>149</v>
      </c>
      <c r="B57" s="103" t="s">
        <v>236</v>
      </c>
      <c r="C57" s="104">
        <v>12471589.5</v>
      </c>
      <c r="D57" s="125"/>
    </row>
    <row r="58" spans="1:4" ht="15">
      <c r="A58" s="103" t="s">
        <v>150</v>
      </c>
      <c r="B58" s="103" t="s">
        <v>237</v>
      </c>
      <c r="C58" s="104">
        <v>2124388.5</v>
      </c>
      <c r="D58" s="125"/>
    </row>
    <row r="59" spans="1:4" ht="15">
      <c r="A59" s="103" t="s">
        <v>196</v>
      </c>
      <c r="B59" s="103" t="s">
        <v>239</v>
      </c>
      <c r="C59" s="104">
        <v>3250000</v>
      </c>
      <c r="D59" s="125"/>
    </row>
    <row r="60" spans="1:4" ht="15">
      <c r="A60" s="103" t="s">
        <v>240</v>
      </c>
      <c r="B60" s="103" t="s">
        <v>241</v>
      </c>
      <c r="C60" s="104">
        <v>58601990</v>
      </c>
      <c r="D60" s="125"/>
    </row>
    <row r="61" spans="1:4" ht="15">
      <c r="A61" s="103" t="s">
        <v>196</v>
      </c>
      <c r="B61" s="103" t="s">
        <v>242</v>
      </c>
      <c r="C61" s="104">
        <v>3319930</v>
      </c>
      <c r="D61" s="125"/>
    </row>
    <row r="62" spans="1:4" ht="15">
      <c r="A62" s="103" t="s">
        <v>119</v>
      </c>
      <c r="B62" s="103" t="s">
        <v>219</v>
      </c>
      <c r="C62" s="104">
        <v>1000000</v>
      </c>
      <c r="D62" s="125"/>
    </row>
    <row r="63" spans="1:4" ht="15">
      <c r="A63" s="103" t="s">
        <v>120</v>
      </c>
      <c r="B63" s="103" t="s">
        <v>243</v>
      </c>
      <c r="C63" s="104">
        <v>1000000</v>
      </c>
      <c r="D63" s="125"/>
    </row>
    <row r="64" spans="1:4" ht="15.75" thickBot="1">
      <c r="A64" s="103"/>
      <c r="B64" s="112" t="s">
        <v>246</v>
      </c>
      <c r="C64" s="113">
        <f>SUM(C57:C63)</f>
        <v>81767898</v>
      </c>
      <c r="D64" s="125"/>
    </row>
    <row r="65" spans="1:4" ht="15.75" thickTop="1">
      <c r="A65" s="103"/>
      <c r="B65" s="103"/>
      <c r="C65" s="104"/>
      <c r="D65" s="125"/>
    </row>
    <row r="66" spans="1:4" ht="15.75" thickBot="1">
      <c r="A66" s="103"/>
      <c r="B66" s="103"/>
      <c r="C66" s="104"/>
      <c r="D66" s="125"/>
    </row>
    <row r="67" spans="1:4" ht="16.5" thickBot="1">
      <c r="A67" s="167" t="s">
        <v>244</v>
      </c>
      <c r="B67" s="168"/>
      <c r="C67" s="169"/>
      <c r="D67" s="126"/>
    </row>
    <row r="68" spans="1:4" ht="15.75">
      <c r="A68" s="115" t="s">
        <v>214</v>
      </c>
      <c r="B68" s="115" t="s">
        <v>215</v>
      </c>
      <c r="C68" s="116" t="s">
        <v>216</v>
      </c>
      <c r="D68" s="125"/>
    </row>
    <row r="69" spans="1:4" ht="15">
      <c r="A69" s="103" t="s">
        <v>96</v>
      </c>
      <c r="B69" s="103" t="s">
        <v>230</v>
      </c>
      <c r="C69" s="104">
        <v>2525205.62</v>
      </c>
      <c r="D69" s="125"/>
    </row>
    <row r="70" spans="1:4" ht="15">
      <c r="A70" s="103" t="s">
        <v>119</v>
      </c>
      <c r="B70" s="103" t="s">
        <v>219</v>
      </c>
      <c r="C70" s="104">
        <v>1000000</v>
      </c>
      <c r="D70" s="125"/>
    </row>
    <row r="71" spans="1:4" ht="15">
      <c r="A71" s="103" t="s">
        <v>120</v>
      </c>
      <c r="B71" s="103" t="s">
        <v>243</v>
      </c>
      <c r="C71" s="104">
        <v>1000000</v>
      </c>
      <c r="D71" s="125"/>
    </row>
    <row r="72" spans="2:3" ht="15.75" thickBot="1">
      <c r="B72" s="101" t="s">
        <v>246</v>
      </c>
      <c r="C72" s="100">
        <f>SUM(C69:C71)</f>
        <v>4525205.62</v>
      </c>
    </row>
    <row r="73" ht="15.75" thickTop="1"/>
    <row r="74" spans="2:3" ht="15.75" thickBot="1">
      <c r="B74" s="101" t="s">
        <v>245</v>
      </c>
      <c r="C74" s="102">
        <f>+C72+C64+C52+C42+C29+C20+C14</f>
        <v>286460892.27</v>
      </c>
    </row>
    <row r="75" ht="15.75" thickTop="1"/>
    <row r="78" ht="15.75" thickBot="1"/>
    <row r="79" spans="1:3" ht="16.5" thickBot="1">
      <c r="A79" s="170" t="s">
        <v>248</v>
      </c>
      <c r="B79" s="171"/>
      <c r="C79" s="172"/>
    </row>
    <row r="80" spans="1:3" ht="15">
      <c r="A80" s="117" t="s">
        <v>96</v>
      </c>
      <c r="B80" s="117" t="s">
        <v>230</v>
      </c>
      <c r="C80" s="118">
        <f>+C69+C48+C34</f>
        <v>11535705.620000001</v>
      </c>
    </row>
    <row r="81" spans="1:3" ht="15">
      <c r="A81" s="106" t="s">
        <v>211</v>
      </c>
      <c r="B81" s="106" t="s">
        <v>231</v>
      </c>
      <c r="C81" s="107">
        <v>4995000</v>
      </c>
    </row>
    <row r="82" spans="1:3" ht="15">
      <c r="A82" s="108" t="s">
        <v>98</v>
      </c>
      <c r="B82" s="108" t="s">
        <v>225</v>
      </c>
      <c r="C82" s="109">
        <v>801900</v>
      </c>
    </row>
    <row r="83" spans="1:3" ht="15">
      <c r="A83" s="108" t="s">
        <v>193</v>
      </c>
      <c r="B83" s="108" t="s">
        <v>232</v>
      </c>
      <c r="C83" s="109">
        <v>999000</v>
      </c>
    </row>
    <row r="84" spans="1:3" ht="15">
      <c r="A84" s="106" t="s">
        <v>99</v>
      </c>
      <c r="B84" s="106" t="s">
        <v>221</v>
      </c>
      <c r="C84" s="109">
        <f>+C49+C36+C26</f>
        <v>319710</v>
      </c>
    </row>
    <row r="85" spans="1:3" ht="15">
      <c r="A85" s="106" t="s">
        <v>171</v>
      </c>
      <c r="B85" s="106" t="s">
        <v>222</v>
      </c>
      <c r="C85" s="109">
        <f>+C50+C37+C27</f>
        <v>50791</v>
      </c>
    </row>
    <row r="86" spans="1:3" ht="15">
      <c r="A86" s="106" t="s">
        <v>98</v>
      </c>
      <c r="B86" s="106" t="s">
        <v>225</v>
      </c>
      <c r="C86" s="109">
        <f>+C51+C35</f>
        <v>1209590</v>
      </c>
    </row>
    <row r="87" spans="1:3" ht="15">
      <c r="A87" s="106" t="s">
        <v>210</v>
      </c>
      <c r="B87" s="106" t="s">
        <v>234</v>
      </c>
      <c r="C87" s="107">
        <v>108137075.33</v>
      </c>
    </row>
    <row r="88" spans="1:3" ht="15">
      <c r="A88" s="106" t="s">
        <v>112</v>
      </c>
      <c r="B88" s="106" t="s">
        <v>218</v>
      </c>
      <c r="C88" s="107">
        <v>2682842.32</v>
      </c>
    </row>
    <row r="89" spans="1:3" ht="15">
      <c r="A89" s="106" t="s">
        <v>149</v>
      </c>
      <c r="B89" s="106" t="s">
        <v>236</v>
      </c>
      <c r="C89" s="107">
        <v>12471589.5</v>
      </c>
    </row>
    <row r="90" spans="1:3" ht="15">
      <c r="A90" s="106" t="s">
        <v>150</v>
      </c>
      <c r="B90" s="106" t="s">
        <v>237</v>
      </c>
      <c r="C90" s="107">
        <v>2124388.5</v>
      </c>
    </row>
    <row r="91" spans="1:3" ht="15">
      <c r="A91" s="106" t="s">
        <v>196</v>
      </c>
      <c r="B91" s="106" t="s">
        <v>242</v>
      </c>
      <c r="C91" s="107">
        <f>+C61+C59</f>
        <v>6569930</v>
      </c>
    </row>
    <row r="92" spans="1:3" ht="15">
      <c r="A92" s="106" t="s">
        <v>119</v>
      </c>
      <c r="B92" s="106" t="s">
        <v>219</v>
      </c>
      <c r="C92" s="107">
        <f>+C70+C62+C25</f>
        <v>2252310</v>
      </c>
    </row>
    <row r="93" spans="1:3" ht="15">
      <c r="A93" s="106" t="s">
        <v>120</v>
      </c>
      <c r="B93" s="106" t="s">
        <v>243</v>
      </c>
      <c r="C93" s="107">
        <f>+C71+C63</f>
        <v>2000000</v>
      </c>
    </row>
    <row r="94" spans="1:3" ht="15">
      <c r="A94" s="106" t="s">
        <v>203</v>
      </c>
      <c r="B94" s="106" t="s">
        <v>217</v>
      </c>
      <c r="C94" s="107">
        <v>68775000</v>
      </c>
    </row>
    <row r="95" spans="1:3" ht="15">
      <c r="A95" s="106" t="s">
        <v>223</v>
      </c>
      <c r="B95" s="106" t="s">
        <v>224</v>
      </c>
      <c r="C95" s="107">
        <v>2934070</v>
      </c>
    </row>
    <row r="96" spans="1:3" ht="15">
      <c r="A96" s="106" t="s">
        <v>240</v>
      </c>
      <c r="B96" s="106" t="s">
        <v>241</v>
      </c>
      <c r="C96" s="107">
        <v>58601990</v>
      </c>
    </row>
    <row r="97" spans="1:3" ht="15.75" thickBot="1">
      <c r="A97" s="110"/>
      <c r="B97" s="111" t="s">
        <v>247</v>
      </c>
      <c r="C97" s="100">
        <f>SUM(C80:C96)</f>
        <v>286460892.27</v>
      </c>
    </row>
    <row r="98" ht="15.75" thickTop="1"/>
    <row r="99" ht="15.75" thickBot="1"/>
    <row r="100" spans="1:3" ht="16.5" thickBot="1">
      <c r="A100" s="170" t="s">
        <v>248</v>
      </c>
      <c r="B100" s="171"/>
      <c r="C100" s="172"/>
    </row>
    <row r="101" spans="1:7" ht="15">
      <c r="A101" s="117" t="s">
        <v>96</v>
      </c>
      <c r="B101" s="117" t="s">
        <v>230</v>
      </c>
      <c r="C101" s="134">
        <f>86640281.62+86640281.62+84115076+84115076+82215076+82215076+82215076+82215076+75104576+75191421+75191421</f>
        <v>895858437.24</v>
      </c>
      <c r="D101" s="129" t="s">
        <v>266</v>
      </c>
      <c r="E101" s="129" t="s">
        <v>267</v>
      </c>
      <c r="F101" s="129" t="s">
        <v>268</v>
      </c>
      <c r="G101" s="129" t="s">
        <v>269</v>
      </c>
    </row>
    <row r="102" spans="1:8" ht="15">
      <c r="A102" s="106" t="s">
        <v>211</v>
      </c>
      <c r="B102" s="106" t="s">
        <v>252</v>
      </c>
      <c r="C102" s="109">
        <v>4995000</v>
      </c>
      <c r="D102" s="123">
        <v>15387090</v>
      </c>
      <c r="E102" s="129">
        <v>75191421</v>
      </c>
      <c r="F102" s="129">
        <v>1235000</v>
      </c>
      <c r="G102" s="129">
        <v>192000</v>
      </c>
      <c r="H102" t="s">
        <v>256</v>
      </c>
    </row>
    <row r="103" spans="1:8" ht="15">
      <c r="A103" s="108" t="s">
        <v>98</v>
      </c>
      <c r="B103" s="108" t="s">
        <v>225</v>
      </c>
      <c r="C103" s="109">
        <v>801900</v>
      </c>
      <c r="D103" s="123">
        <v>15387090</v>
      </c>
      <c r="E103" s="129">
        <v>75191421</v>
      </c>
      <c r="F103" s="129">
        <v>1235000</v>
      </c>
      <c r="G103" s="129">
        <v>192000</v>
      </c>
      <c r="H103" t="s">
        <v>258</v>
      </c>
    </row>
    <row r="104" spans="1:8" ht="15">
      <c r="A104" s="108" t="s">
        <v>193</v>
      </c>
      <c r="B104" s="108" t="s">
        <v>232</v>
      </c>
      <c r="C104" s="109">
        <v>999000</v>
      </c>
      <c r="D104" s="123">
        <v>15639400</v>
      </c>
      <c r="E104" s="129">
        <v>75104576</v>
      </c>
      <c r="F104" s="129">
        <v>1420000</v>
      </c>
      <c r="G104" s="129">
        <v>220000</v>
      </c>
      <c r="H104" t="s">
        <v>257</v>
      </c>
    </row>
    <row r="105" spans="1:8" ht="15">
      <c r="A105" s="106" t="s">
        <v>99</v>
      </c>
      <c r="B105" s="106" t="s">
        <v>221</v>
      </c>
      <c r="C105" s="109">
        <f>1554710+1554710+1554710+1554710+1499160+1499160+1499160+1499160+1420000+1235000+1235000</f>
        <v>16105480</v>
      </c>
      <c r="D105" s="123">
        <v>16518990</v>
      </c>
      <c r="E105" s="129">
        <v>82215076</v>
      </c>
      <c r="F105" s="129">
        <v>1499160</v>
      </c>
      <c r="G105" s="129">
        <v>233398</v>
      </c>
      <c r="H105" t="s">
        <v>259</v>
      </c>
    </row>
    <row r="106" spans="1:8" ht="15">
      <c r="A106" s="106" t="s">
        <v>171</v>
      </c>
      <c r="B106" s="106" t="s">
        <v>222</v>
      </c>
      <c r="C106" s="109">
        <f>242800+242800+242800+242800+233398+233398+233398+233398+220000+192000+192000</f>
        <v>2508792</v>
      </c>
      <c r="D106" s="123">
        <v>16518990</v>
      </c>
      <c r="E106" s="129">
        <v>82215076</v>
      </c>
      <c r="F106" s="129">
        <v>1499160</v>
      </c>
      <c r="G106" s="129">
        <v>233398</v>
      </c>
      <c r="H106" t="s">
        <v>260</v>
      </c>
    </row>
    <row r="107" spans="1:8" ht="15">
      <c r="A107" s="106" t="s">
        <v>210</v>
      </c>
      <c r="B107" s="106" t="s">
        <v>251</v>
      </c>
      <c r="C107" s="109">
        <v>108137017.73</v>
      </c>
      <c r="D107" s="123">
        <v>16518990</v>
      </c>
      <c r="E107" s="129">
        <v>82215076</v>
      </c>
      <c r="F107" s="129">
        <v>1499160</v>
      </c>
      <c r="G107" s="129">
        <v>233398</v>
      </c>
      <c r="H107" t="s">
        <v>261</v>
      </c>
    </row>
    <row r="108" spans="1:8" ht="15">
      <c r="A108" s="106" t="s">
        <v>112</v>
      </c>
      <c r="B108" s="106" t="s">
        <v>253</v>
      </c>
      <c r="C108" s="109">
        <v>2682842.32</v>
      </c>
      <c r="D108" s="123">
        <v>16518990</v>
      </c>
      <c r="E108" s="129">
        <v>82215076</v>
      </c>
      <c r="F108" s="129">
        <v>1499160</v>
      </c>
      <c r="G108" s="129">
        <v>233398</v>
      </c>
      <c r="H108" t="s">
        <v>262</v>
      </c>
    </row>
    <row r="109" spans="1:8" ht="15">
      <c r="A109" s="106" t="s">
        <v>149</v>
      </c>
      <c r="B109" s="106" t="s">
        <v>250</v>
      </c>
      <c r="C109" s="109">
        <v>12471589.5</v>
      </c>
      <c r="D109" s="123">
        <v>16848990</v>
      </c>
      <c r="E109" s="129">
        <v>84115076</v>
      </c>
      <c r="F109" s="129">
        <v>1554710</v>
      </c>
      <c r="G109" s="129">
        <v>242800</v>
      </c>
      <c r="H109" t="s">
        <v>263</v>
      </c>
    </row>
    <row r="110" spans="1:8" ht="15">
      <c r="A110" s="106" t="s">
        <v>150</v>
      </c>
      <c r="B110" s="106" t="s">
        <v>237</v>
      </c>
      <c r="C110" s="109">
        <v>5124388.5</v>
      </c>
      <c r="D110" s="123">
        <v>16848990</v>
      </c>
      <c r="E110" s="129">
        <v>84115076</v>
      </c>
      <c r="F110" s="129">
        <v>1554710</v>
      </c>
      <c r="G110" s="129">
        <v>242800</v>
      </c>
      <c r="H110" t="s">
        <v>264</v>
      </c>
    </row>
    <row r="111" spans="1:8" ht="15">
      <c r="A111" s="106" t="s">
        <v>196</v>
      </c>
      <c r="B111" s="106" t="s">
        <v>249</v>
      </c>
      <c r="C111" s="109">
        <f>3319930+3250000</f>
        <v>6569930</v>
      </c>
      <c r="D111" s="123">
        <v>16848990</v>
      </c>
      <c r="E111" s="129">
        <v>86640281.62</v>
      </c>
      <c r="F111" s="129">
        <v>1554710</v>
      </c>
      <c r="G111" s="129">
        <v>242800</v>
      </c>
      <c r="H111" t="s">
        <v>265</v>
      </c>
    </row>
    <row r="112" spans="1:8" ht="17.25">
      <c r="A112" s="106" t="s">
        <v>119</v>
      </c>
      <c r="B112" s="106" t="s">
        <v>219</v>
      </c>
      <c r="C112" s="109">
        <f>1000000+1000000+1000000+1000000</f>
        <v>4000000</v>
      </c>
      <c r="D112" s="127">
        <v>16848990</v>
      </c>
      <c r="E112" s="127">
        <v>86640281.62</v>
      </c>
      <c r="F112" s="127">
        <v>1554710</v>
      </c>
      <c r="G112" s="127">
        <v>242800</v>
      </c>
      <c r="H112" t="s">
        <v>255</v>
      </c>
    </row>
    <row r="113" spans="1:8" ht="17.25">
      <c r="A113" s="106" t="s">
        <v>120</v>
      </c>
      <c r="B113" s="106" t="s">
        <v>243</v>
      </c>
      <c r="C113" s="109">
        <f>1000000+1000000+1000000+1000000</f>
        <v>4000000</v>
      </c>
      <c r="D113" s="128">
        <f>SUM(D102:D112)</f>
        <v>179885500</v>
      </c>
      <c r="E113" s="128">
        <f>SUM(E102:E112)</f>
        <v>895858437.24</v>
      </c>
      <c r="F113" s="128">
        <f>SUM(F102:F112)</f>
        <v>16105480</v>
      </c>
      <c r="G113" s="128">
        <f>SUM(G102:G112)</f>
        <v>2508792</v>
      </c>
      <c r="H113" t="s">
        <v>271</v>
      </c>
    </row>
    <row r="114" spans="1:7" ht="15">
      <c r="A114" s="106" t="s">
        <v>203</v>
      </c>
      <c r="B114" s="106" t="s">
        <v>254</v>
      </c>
      <c r="C114" s="109">
        <v>68775000</v>
      </c>
      <c r="D114" s="131">
        <f>15387090*11</f>
        <v>169257990</v>
      </c>
      <c r="E114" s="129">
        <f>+E102*11</f>
        <v>827105631</v>
      </c>
      <c r="F114" s="129">
        <f>+F102*11</f>
        <v>13585000</v>
      </c>
      <c r="G114" s="129">
        <f>+G102*11</f>
        <v>2112000</v>
      </c>
    </row>
    <row r="115" spans="1:8" ht="15">
      <c r="A115" s="106" t="s">
        <v>223</v>
      </c>
      <c r="B115" s="106" t="s">
        <v>224</v>
      </c>
      <c r="C115" s="109">
        <v>2934070</v>
      </c>
      <c r="D115" s="132">
        <f>+D113-D114</f>
        <v>10627510</v>
      </c>
      <c r="E115" s="132">
        <f>+E113-E114</f>
        <v>68752806.24000001</v>
      </c>
      <c r="F115" s="132">
        <f>+F113-F114</f>
        <v>2520480</v>
      </c>
      <c r="G115" s="132">
        <f>+G113-G114</f>
        <v>396792</v>
      </c>
      <c r="H115" s="133" t="s">
        <v>270</v>
      </c>
    </row>
    <row r="116" spans="1:3" ht="15">
      <c r="A116" s="106" t="s">
        <v>240</v>
      </c>
      <c r="B116" s="106" t="s">
        <v>241</v>
      </c>
      <c r="C116" s="109">
        <v>58601990</v>
      </c>
    </row>
    <row r="117" spans="1:4" ht="15">
      <c r="A117" s="119" t="s">
        <v>173</v>
      </c>
      <c r="B117" s="28" t="s">
        <v>272</v>
      </c>
      <c r="C117" s="47">
        <v>32000000</v>
      </c>
      <c r="D117" s="129"/>
    </row>
    <row r="118" spans="1:3" ht="15.75" thickBot="1">
      <c r="A118" s="110"/>
      <c r="B118" s="111" t="s">
        <v>247</v>
      </c>
      <c r="C118" s="100">
        <f>+C101+C102+C103+C104+C105+C106+C107+C108+C109+C110+C111+C112+C113+C114+C115+C116+C117</f>
        <v>1226565437.29</v>
      </c>
    </row>
    <row r="119" ht="15.75" thickTop="1"/>
    <row r="120" ht="15.75" thickBot="1">
      <c r="C120" s="102">
        <f>+C118+D113</f>
        <v>1406450937.29</v>
      </c>
    </row>
    <row r="121" ht="15.75" thickTop="1"/>
  </sheetData>
  <sheetProtection/>
  <mergeCells count="15">
    <mergeCell ref="B3:B4"/>
    <mergeCell ref="A17:D17"/>
    <mergeCell ref="A6:C6"/>
    <mergeCell ref="A5:C5"/>
    <mergeCell ref="A11:C11"/>
    <mergeCell ref="A23:C23"/>
    <mergeCell ref="A32:C32"/>
    <mergeCell ref="A46:C46"/>
    <mergeCell ref="A9:C9"/>
    <mergeCell ref="A100:C100"/>
    <mergeCell ref="A8:C8"/>
    <mergeCell ref="A7:C7"/>
    <mergeCell ref="A55:C55"/>
    <mergeCell ref="A67:C67"/>
    <mergeCell ref="A79:C79"/>
  </mergeCells>
  <printOptions/>
  <pageMargins left="0.29" right="0.36" top="0.43" bottom="0.75" header="0.21" footer="0.3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kenya.mercedes</dc:creator>
  <cp:keywords/>
  <dc:description/>
  <cp:lastModifiedBy>juan.melo</cp:lastModifiedBy>
  <cp:lastPrinted>2022-02-04T13:53:08Z</cp:lastPrinted>
  <dcterms:created xsi:type="dcterms:W3CDTF">2019-01-09T20:58:22Z</dcterms:created>
  <dcterms:modified xsi:type="dcterms:W3CDTF">2022-02-04T15:58:21Z</dcterms:modified>
  <cp:category/>
  <cp:version/>
  <cp:contentType/>
  <cp:contentStatus/>
</cp:coreProperties>
</file>