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40" activeTab="0"/>
  </bookViews>
  <sheets>
    <sheet name="EJECUCION 202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<sst xmlns="http://schemas.openxmlformats.org/spreadsheetml/2006/main" count="475" uniqueCount="322">
  <si>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</si>
  <si>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</si>
  <si>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</si>
  <si>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</si>
  <si>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</si>
  <si>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</si>
  <si>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EJECUCION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</si>
  <si>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</si>
  <si>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</si>
  <si>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</si>
  <si>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</si>
  <si>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</si>
  <si>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</si>
  <si>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</si>
  <si>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</si>
  <si>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</si>
  <si>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</si>
  <si>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</si>
  <si>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</si>
  <si>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Remuneraciones al Personal Fijo</t>
  </si>
  <si>
    <t>Sueldos fijos</t>
  </si>
  <si>
    <t>Sueldo Anual No.13 (Regalia)</t>
  </si>
  <si>
    <t>Compensación por gastos de alimentación</t>
  </si>
  <si>
    <t>Contribuciones al seguro de salud</t>
  </si>
  <si>
    <t>2.2.1</t>
  </si>
  <si>
    <t>Servicios Basicos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</si>
  <si>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</si>
  <si>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</si>
  <si>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</si>
  <si>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</si>
  <si>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</si>
  <si>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</si>
  <si>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</si>
  <si>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Impresión y encuadernacion</t>
  </si>
  <si>
    <t>Publicidad y propaganda</t>
  </si>
  <si>
    <t>2.2.3</t>
  </si>
  <si>
    <t>Viaticos</t>
  </si>
  <si>
    <t>Viáticos dentro del país</t>
  </si>
  <si>
    <t>Viáticos fuera del país</t>
  </si>
  <si>
    <t>2.2.4</t>
  </si>
  <si>
    <t>Transporte y Almacenaje</t>
  </si>
  <si>
    <t>2.2.5</t>
  </si>
  <si>
    <t xml:space="preserve">Alquileres y Rentas  </t>
  </si>
  <si>
    <t>Alquileres y rentas de edificios y locales</t>
  </si>
  <si>
    <t>2.2.6</t>
  </si>
  <si>
    <t>Seguros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</si>
  <si>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</si>
  <si>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</si>
  <si>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</si>
  <si>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</si>
  <si>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</si>
  <si>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</si>
  <si>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</si>
  <si>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</si>
  <si>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y Productos agroforestales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</si>
  <si>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</si>
  <si>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</si>
  <si>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</si>
  <si>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</si>
  <si>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</si>
  <si>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</si>
  <si>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</si>
  <si>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</si>
  <si>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</si>
  <si>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</si>
  <si>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</si>
  <si>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</si>
  <si>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</si>
  <si>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</si>
  <si>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Artículos de plástico</t>
  </si>
  <si>
    <t>2.3.6</t>
  </si>
  <si>
    <t>.23.6.4.07</t>
  </si>
  <si>
    <t>Otros Minerales</t>
  </si>
  <si>
    <t>2.3.7</t>
  </si>
  <si>
    <t>Combustibles, Lubricantes, productos quimicos y conexos</t>
  </si>
  <si>
    <t>Gasolina</t>
  </si>
  <si>
    <t>Gasoil</t>
  </si>
  <si>
    <t>Gas GLP</t>
  </si>
  <si>
    <t>.23.7.1.05</t>
  </si>
  <si>
    <t>Aceites y grasas</t>
  </si>
  <si>
    <t>Lubricantes</t>
  </si>
  <si>
    <t>2.3.9</t>
  </si>
  <si>
    <t>Productos y Utiles Varios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</si>
  <si>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</si>
  <si>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</si>
  <si>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</si>
  <si>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</si>
  <si>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</si>
  <si>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</si>
  <si>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</si>
  <si>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</si>
  <si>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</si>
  <si>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</si>
  <si>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Mobiliario y Equipos</t>
  </si>
  <si>
    <t xml:space="preserve">Total Sueldos y  Gastos Operacionales </t>
  </si>
  <si>
    <t>2.1.1.1.01</t>
  </si>
  <si>
    <t>2.1.1.4.01</t>
  </si>
  <si>
    <t>2.1.2.2.01</t>
  </si>
  <si>
    <t>2.1.5.1.01</t>
  </si>
  <si>
    <t>Contribuciones al seguro de Riesgo Laboral</t>
  </si>
  <si>
    <t>2.2.1.3.01</t>
  </si>
  <si>
    <t>2.2.1.5.01</t>
  </si>
  <si>
    <t>2.2.1.7.01</t>
  </si>
  <si>
    <t>2.2.1.8.01</t>
  </si>
  <si>
    <t>2.2.2.1.01</t>
  </si>
  <si>
    <t>2.2.3.1.01</t>
  </si>
  <si>
    <t>2.2.3.2.01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</si>
  <si>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</si>
  <si>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</si>
  <si>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</si>
  <si>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</si>
  <si>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</si>
  <si>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</si>
  <si>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</si>
  <si>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</si>
  <si>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</si>
  <si>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</si>
  <si>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</si>
  <si>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</si>
  <si>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</si>
  <si>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</si>
  <si>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</si>
  <si>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</si>
  <si>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</si>
  <si>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</si>
  <si>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</si>
  <si>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</si>
  <si>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</si>
  <si>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</si>
  <si>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</si>
  <si>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</si>
  <si>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</si>
  <si>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</si>
  <si>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</si>
  <si>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2.6.3.2.01</t>
  </si>
  <si>
    <t>Instrumental médico y de laboratorio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</si>
  <si>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</si>
  <si>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</si>
  <si>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</si>
  <si>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</si>
  <si>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</si>
  <si>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</si>
  <si>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</si>
  <si>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Equipos y Aparatos Audiovisuales</t>
  </si>
  <si>
    <t>2.6.2.1.01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</si>
  <si>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</si>
  <si>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</si>
  <si>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</si>
  <si>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</si>
  <si>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</si>
  <si>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</si>
  <si>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</si>
  <si>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</si>
  <si>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</si>
  <si>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</si>
  <si>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</si>
  <si>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</si>
  <si>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</si>
  <si>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</si>
  <si>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</si>
  <si>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</si>
  <si>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</si>
  <si>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</si>
  <si>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</si>
  <si>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Transferencias Corrientes al Sector Privado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</si>
  <si>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</si>
  <si>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</si>
  <si>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</si>
  <si>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</si>
  <si>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</si>
  <si>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</si>
  <si>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</si>
  <si>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2.6.9.3.03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</si>
  <si>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</si>
  <si>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</si>
  <si>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</si>
  <si>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</si>
  <si>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</si>
  <si>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</si>
  <si>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</si>
  <si>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</si>
  <si>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</si>
  <si>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</si>
  <si>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</si>
  <si>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Productos y Útiles Varios n.i.p</t>
  </si>
  <si>
    <t>SEPT.</t>
  </si>
  <si>
    <t>OCT.</t>
  </si>
  <si>
    <t>NOV.</t>
  </si>
  <si>
    <t>DIC.</t>
  </si>
  <si>
    <t>2.1.1.2.04</t>
  </si>
  <si>
    <t>Servicios especiales</t>
  </si>
  <si>
    <t>Incentivo por Rendimiento Individual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</si>
  <si>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</si>
  <si>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</si>
  <si>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</si>
  <si>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</si>
  <si>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</si>
  <si>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</si>
  <si>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</si>
  <si>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</si>
  <si>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</si>
  <si>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</si>
  <si>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2.3.9.9.04</t>
  </si>
  <si>
    <t>Productos metálicos</t>
  </si>
  <si>
    <t>Pinturas, lacas, barnices, diluyentes y absorbentes para pinturas</t>
  </si>
  <si>
    <t>Útiles y materiales de escritorio, oficina e informática</t>
  </si>
  <si>
    <t>Materiales de limpieza e higiene</t>
  </si>
  <si>
    <t>2.4.1.6.01</t>
  </si>
  <si>
    <t>Transferencias corrientes programadas a asociaciones sin fines de lucro</t>
  </si>
  <si>
    <t>2.2.5.9.01</t>
  </si>
  <si>
    <t>2.1.1.1.12</t>
  </si>
  <si>
    <t>ASIGNACIONES EXTRAPRESUPUESTARIA CORRESPONDIENTES AL AÑO 2021</t>
  </si>
  <si>
    <t>CUANTA</t>
  </si>
  <si>
    <t xml:space="preserve">DESCRIPCION DEL GASTO </t>
  </si>
  <si>
    <t>MONTO EN RD$</t>
  </si>
  <si>
    <t>COMPRA DE CHALECOS BALISTICOS</t>
  </si>
  <si>
    <t>MANT. Y REPARAC. DE AERONAVE</t>
  </si>
  <si>
    <t>GASOLINA</t>
  </si>
  <si>
    <t>MES DE MARZO</t>
  </si>
  <si>
    <t>CONTRIBUCIONES AL SEGURO DE SALUD</t>
  </si>
  <si>
    <t>CONTRIBUCIONES AL SEGURO DE RIESGO LABORAL</t>
  </si>
  <si>
    <t>2.6.2.3.01</t>
  </si>
  <si>
    <t>CAMARAS FOTOGRAFICAS Y DE VIDEO</t>
  </si>
  <si>
    <t>COMPENSACION POR GASTOS DE ALIMENTACION</t>
  </si>
  <si>
    <t>MES DE ENERO DE 2021</t>
  </si>
  <si>
    <t>MES DE FEBRERO DE 2021</t>
  </si>
  <si>
    <t>MES DE MARZO DE 2021</t>
  </si>
  <si>
    <t>MES DE ABRIL DE 2021</t>
  </si>
  <si>
    <t>SUELDOS FIJOS</t>
  </si>
  <si>
    <t>SUELDOS FIJOS POR CARGO AL PERSONAL MILITAR Y POLICIAL</t>
  </si>
  <si>
    <t>INCENTIVO POR RIESGO LABORAL AL PERSONAL MILITAR Y POLICIAL</t>
  </si>
  <si>
    <t>SOLICITADO EN MARZO</t>
  </si>
  <si>
    <t>LICENCIAS INFORMATICAS US$1,877,378.78  A RD$57.60</t>
  </si>
  <si>
    <t>MES DE AGOSTO DE 2021</t>
  </si>
  <si>
    <t>PRENDAS Y ACCESORIOS DE VESTIR</t>
  </si>
  <si>
    <t>CALZADOS</t>
  </si>
  <si>
    <t>MES DE SEPTIEMBRE DE 2021</t>
  </si>
  <si>
    <t>PRODUCTOS METALICOS (PLACAS METALICAS)</t>
  </si>
  <si>
    <t>2.6.4.1.01</t>
  </si>
  <si>
    <t>AUTOMOVILES Y CAMIONES</t>
  </si>
  <si>
    <t>PRODUCTOS METALICOS (DEFENSAS PARA CAMIONETAS</t>
  </si>
  <si>
    <t>GASOIL</t>
  </si>
  <si>
    <t>MES DE OCTUBRE DE 2021</t>
  </si>
  <si>
    <t>TOTAL GENEREAL ASIGNACIONES EXTRAP.,…….</t>
  </si>
  <si>
    <t>TOTAL ASIGNACIONES EXTRAP………..</t>
  </si>
  <si>
    <t>TOTAL GENERAL EN RD$,…………………….</t>
  </si>
  <si>
    <t>TOTAL GENERAL DE ASIGNACIONES PRESUPUESTARIAS POR CUENTAS</t>
  </si>
  <si>
    <t>PRODUCTOS METALICOS (DEFENSAS PARA CAMIONETAS)</t>
  </si>
  <si>
    <t>PRENDAS DE VESTIR</t>
  </si>
  <si>
    <t>LICENCIAS INFORMATICAS</t>
  </si>
  <si>
    <t>SUELDOS FIJO POR CARGO AL PERSONAL MILITAR Y POLICIAL</t>
  </si>
  <si>
    <t>MANTENIMIENTO Y REPARAC. DE EQUIPOS DE TRANSPORTE, TRACC. Y ELEV.</t>
  </si>
  <si>
    <t>PRODUCTOS Y UTILES DE DEFENSA  Y SEGURIDAD</t>
  </si>
  <si>
    <t>Nov.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</si>
  <si>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</si>
  <si>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</si>
  <si>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</si>
  <si>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</si>
  <si>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</si>
  <si>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</si>
  <si>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</si>
  <si>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</si>
  <si>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Sept.</t>
  </si>
  <si>
    <t>Oct.</t>
  </si>
  <si>
    <t>Gastos corrientes</t>
  </si>
  <si>
    <t>Sueldos</t>
  </si>
  <si>
    <t>Cont.seg. Salud</t>
  </si>
  <si>
    <t>Cont.riesgo lab.</t>
  </si>
  <si>
    <t>ASIG. EXTRAP.</t>
  </si>
  <si>
    <t>ASIG. PRESUP.</t>
  </si>
  <si>
    <t>TERRENOS URBANOS CON EDIFICACIONES</t>
  </si>
  <si>
    <t>% POR</t>
  </si>
  <si>
    <t>Electricidad no cortable</t>
  </si>
  <si>
    <t>EJECUCION PRESUPUESTARIA CORRESPONDIENTE AL AÑO 2022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</si>
  <si>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</si>
  <si>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</si>
  <si>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</si>
  <si>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</si>
  <si>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</si>
  <si>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</si>
  <si>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</si>
  <si>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</si>
  <si>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</si>
  <si>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2.6.2</t>
  </si>
  <si>
    <t>MOBILIARIO Y EQUIPO AUDIOVISUAL, RECREATIVO YEDUCACIONAL</t>
  </si>
  <si>
    <t>2.6.3</t>
  </si>
  <si>
    <t>EQUIPO E INSTRUMENTAL, CIENTÍFICO Y LABORATORIO</t>
  </si>
  <si>
    <t>Incentivo por riesgo laboral al personal militar y policial</t>
  </si>
  <si>
    <t>Mantenimiento y reparación de equipos de transporte, tracción y elevación</t>
  </si>
  <si>
    <t>SERVICIOS DE CONSERVACIÓN, REPARACIONES MENORES E INSTALACIONES T EMPORALES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</si>
  <si>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</si>
  <si>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</si>
  <si>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</si>
  <si>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</si>
  <si>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</si>
  <si>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</si>
  <si>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</si>
  <si>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</si>
  <si>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</si>
  <si>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</si>
  <si>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</si>
  <si>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</si>
  <si>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</si>
  <si>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</si>
  <si>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</si>
  <si>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</si>
  <si>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</si>
  <si>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</si>
  <si>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</si>
  <si>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</si>
  <si>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</si>
  <si>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</si>
  <si>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</si>
  <si>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</si>
  <si>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</si>
  <si>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</si>
  <si>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</si>
  <si>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</si>
  <si>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2.2.9.1.01</t>
  </si>
  <si>
    <t>Otras contrataciones de servicios</t>
  </si>
  <si>
    <t>Gasto Anual</t>
  </si>
  <si>
    <t>Año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</si>
</sst>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u val="singleAccounting"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0" fillId="0" borderId="0" xfId="59" applyFill="1" applyBorder="1">
      <alignment/>
      <protection/>
    </xf>
    <xf numFmtId="0" fontId="0" fillId="0" borderId="0" xfId="59" applyBorder="1">
      <alignment/>
      <protection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22" fillId="33" borderId="10" xfId="59" applyFont="1" applyFill="1" applyBorder="1" applyAlignment="1">
      <alignment horizontal="left"/>
      <protection/>
    </xf>
    <xf numFmtId="0" fontId="47" fillId="34" borderId="11" xfId="59" applyFont="1" applyFill="1" applyBorder="1">
      <alignment/>
      <protection/>
    </xf>
    <xf numFmtId="0" fontId="0" fillId="0" borderId="12" xfId="59" applyBorder="1">
      <alignment/>
      <protection/>
    </xf>
    <xf numFmtId="0" fontId="48" fillId="33" borderId="11" xfId="59" applyFont="1" applyFill="1" applyBorder="1">
      <alignment/>
      <protection/>
    </xf>
    <xf numFmtId="0" fontId="47" fillId="0" borderId="11" xfId="59" applyFont="1" applyFill="1" applyBorder="1">
      <alignment/>
      <protection/>
    </xf>
    <xf numFmtId="0" fontId="0" fillId="0" borderId="0" xfId="59" applyFill="1">
      <alignment/>
      <protection/>
    </xf>
    <xf numFmtId="0" fontId="0" fillId="0" borderId="12" xfId="59" applyFill="1" applyBorder="1">
      <alignment/>
      <protection/>
    </xf>
    <xf numFmtId="0" fontId="0" fillId="9" borderId="0" xfId="59" applyFill="1">
      <alignment/>
      <protection/>
    </xf>
    <xf numFmtId="0" fontId="0" fillId="0" borderId="0" xfId="59" applyFont="1" applyFill="1" applyBorder="1">
      <alignment/>
      <protection/>
    </xf>
    <xf numFmtId="0" fontId="47" fillId="34" borderId="11" xfId="59" applyFont="1" applyFill="1" applyBorder="1" applyAlignment="1">
      <alignment wrapText="1"/>
      <protection/>
    </xf>
    <xf numFmtId="0" fontId="0" fillId="0" borderId="0" xfId="59" applyFont="1" applyFill="1">
      <alignment/>
      <protection/>
    </xf>
    <xf numFmtId="0" fontId="49" fillId="0" borderId="0" xfId="59" applyFont="1">
      <alignment/>
      <protection/>
    </xf>
    <xf numFmtId="40" fontId="46" fillId="0" borderId="0" xfId="59" applyNumberFormat="1" applyFont="1" applyFill="1" applyBorder="1">
      <alignment/>
      <protection/>
    </xf>
    <xf numFmtId="0" fontId="0" fillId="0" borderId="0" xfId="59" applyFont="1" applyBorder="1">
      <alignment/>
      <protection/>
    </xf>
    <xf numFmtId="10" fontId="0" fillId="0" borderId="0" xfId="59" applyNumberFormat="1" applyFont="1">
      <alignment/>
      <protection/>
    </xf>
    <xf numFmtId="0" fontId="3" fillId="0" borderId="0" xfId="56" applyFont="1" applyAlignment="1">
      <alignment horizontal="left"/>
      <protection/>
    </xf>
    <xf numFmtId="0" fontId="4" fillId="0" borderId="0" xfId="56" applyFont="1">
      <alignment/>
      <protection/>
    </xf>
    <xf numFmtId="40" fontId="0" fillId="0" borderId="0" xfId="59" applyNumberFormat="1" applyFont="1" applyBorder="1">
      <alignment/>
      <protection/>
    </xf>
    <xf numFmtId="0" fontId="46" fillId="33" borderId="11" xfId="59" applyFont="1" applyFill="1" applyBorder="1">
      <alignment/>
      <protection/>
    </xf>
    <xf numFmtId="0" fontId="0" fillId="0" borderId="11" xfId="59" applyFont="1" applyFill="1" applyBorder="1">
      <alignment/>
      <protection/>
    </xf>
    <xf numFmtId="40" fontId="0" fillId="0" borderId="0" xfId="59" applyNumberFormat="1" applyFont="1">
      <alignment/>
      <protection/>
    </xf>
    <xf numFmtId="0" fontId="0" fillId="34" borderId="11" xfId="59" applyFont="1" applyFill="1" applyBorder="1">
      <alignment/>
      <protection/>
    </xf>
    <xf numFmtId="0" fontId="47" fillId="34" borderId="11" xfId="58" applyFont="1" applyFill="1" applyBorder="1">
      <alignment/>
      <protection/>
    </xf>
    <xf numFmtId="0" fontId="47" fillId="0" borderId="11" xfId="58" applyFont="1" applyFill="1" applyBorder="1">
      <alignment/>
      <protection/>
    </xf>
    <xf numFmtId="0" fontId="0" fillId="0" borderId="11" xfId="58" applyFont="1" applyFill="1" applyBorder="1" applyAlignment="1">
      <alignment wrapText="1"/>
      <protection/>
    </xf>
    <xf numFmtId="0" fontId="0" fillId="0" borderId="11" xfId="59" applyFont="1" applyBorder="1" applyAlignment="1">
      <alignment horizontal="left"/>
      <protection/>
    </xf>
    <xf numFmtId="0" fontId="22" fillId="33" borderId="10" xfId="59" applyFont="1" applyFill="1" applyBorder="1" applyAlignment="1">
      <alignment horizontal="left" wrapText="1"/>
      <protection/>
    </xf>
    <xf numFmtId="0" fontId="46" fillId="0" borderId="0" xfId="59" applyFont="1" applyFill="1" applyBorder="1">
      <alignment/>
      <protection/>
    </xf>
    <xf numFmtId="0" fontId="0" fillId="0" borderId="11" xfId="58" applyFont="1" applyFill="1" applyBorder="1">
      <alignment/>
      <protection/>
    </xf>
    <xf numFmtId="40" fontId="0" fillId="0" borderId="0" xfId="59" applyNumberFormat="1">
      <alignment/>
      <protection/>
    </xf>
    <xf numFmtId="0" fontId="0" fillId="0" borderId="11" xfId="59" applyFont="1" applyBorder="1" applyAlignment="1">
      <alignment wrapText="1"/>
      <protection/>
    </xf>
    <xf numFmtId="0" fontId="47" fillId="0" borderId="11" xfId="58" applyFont="1" applyFill="1" applyBorder="1" applyAlignment="1">
      <alignment horizontal="left" vertical="center" wrapText="1"/>
      <protection/>
    </xf>
    <xf numFmtId="0" fontId="47" fillId="0" borderId="11" xfId="58" applyFont="1" applyFill="1" applyBorder="1" applyAlignment="1">
      <alignment wrapText="1"/>
      <protection/>
    </xf>
    <xf numFmtId="0" fontId="47" fillId="0" borderId="11" xfId="58" applyFont="1" applyFill="1" applyBorder="1" applyAlignment="1">
      <alignment horizontal="left" wrapText="1"/>
      <protection/>
    </xf>
    <xf numFmtId="0" fontId="48" fillId="33" borderId="11" xfId="59" applyFont="1" applyFill="1" applyBorder="1" applyAlignment="1">
      <alignment wrapText="1"/>
      <protection/>
    </xf>
    <xf numFmtId="0" fontId="24" fillId="0" borderId="11" xfId="58" applyFont="1" applyFill="1" applyBorder="1">
      <alignment/>
      <protection/>
    </xf>
    <xf numFmtId="0" fontId="47" fillId="34" borderId="11" xfId="59" applyFont="1" applyFill="1" applyBorder="1" applyAlignment="1">
      <alignment horizontal="left" vertical="center" wrapText="1"/>
      <protection/>
    </xf>
    <xf numFmtId="43" fontId="24" fillId="0" borderId="11" xfId="47" applyFont="1" applyBorder="1" applyAlignment="1">
      <alignment vertical="center"/>
    </xf>
    <xf numFmtId="0" fontId="0" fillId="0" borderId="11" xfId="58" applyFont="1" applyFill="1" applyBorder="1" applyAlignment="1">
      <alignment vertical="center"/>
      <protection/>
    </xf>
    <xf numFmtId="0" fontId="46" fillId="33" borderId="11" xfId="59" applyFont="1" applyFill="1" applyBorder="1" applyAlignment="1">
      <alignment vertical="center"/>
      <protection/>
    </xf>
    <xf numFmtId="0" fontId="48" fillId="33" borderId="11" xfId="59" applyFont="1" applyFill="1" applyBorder="1" applyAlignment="1">
      <alignment horizontal="left" vertical="center" wrapText="1"/>
      <protection/>
    </xf>
    <xf numFmtId="0" fontId="47" fillId="0" borderId="11" xfId="58" applyFont="1" applyFill="1" applyBorder="1" applyAlignment="1">
      <alignment vertical="center" wrapText="1"/>
      <protection/>
    </xf>
    <xf numFmtId="43" fontId="24" fillId="34" borderId="11" xfId="47" applyFont="1" applyFill="1" applyBorder="1" applyAlignment="1">
      <alignment vertical="center"/>
    </xf>
    <xf numFmtId="43" fontId="24" fillId="0" borderId="11" xfId="47" applyFont="1" applyFill="1" applyBorder="1" applyAlignment="1">
      <alignment vertical="center"/>
    </xf>
    <xf numFmtId="43" fontId="24" fillId="4" borderId="11" xfId="47" applyFont="1" applyFill="1" applyBorder="1" applyAlignment="1">
      <alignment vertical="center"/>
    </xf>
    <xf numFmtId="43" fontId="0" fillId="0" borderId="11" xfId="47" applyFont="1" applyFill="1" applyBorder="1" applyAlignment="1">
      <alignment vertical="center"/>
    </xf>
    <xf numFmtId="43" fontId="0" fillId="34" borderId="11" xfId="47" applyFont="1" applyFill="1" applyBorder="1" applyAlignment="1">
      <alignment vertical="center"/>
    </xf>
    <xf numFmtId="0" fontId="0" fillId="34" borderId="11" xfId="59" applyFont="1" applyFill="1" applyBorder="1">
      <alignment/>
      <protection/>
    </xf>
    <xf numFmtId="40" fontId="24" fillId="4" borderId="11" xfId="59" applyNumberFormat="1" applyFont="1" applyFill="1" applyBorder="1" applyAlignment="1">
      <alignment vertical="center"/>
      <protection/>
    </xf>
    <xf numFmtId="10" fontId="24" fillId="4" borderId="11" xfId="59" applyNumberFormat="1" applyFont="1" applyFill="1" applyBorder="1" applyAlignment="1">
      <alignment vertical="center"/>
      <protection/>
    </xf>
    <xf numFmtId="40" fontId="24" fillId="2" borderId="11" xfId="59" applyNumberFormat="1" applyFont="1" applyFill="1" applyBorder="1" applyAlignment="1">
      <alignment vertical="center"/>
      <protection/>
    </xf>
    <xf numFmtId="10" fontId="24" fillId="2" borderId="11" xfId="59" applyNumberFormat="1" applyFont="1" applyFill="1" applyBorder="1" applyAlignment="1">
      <alignment vertical="center"/>
      <protection/>
    </xf>
    <xf numFmtId="43" fontId="22" fillId="0" borderId="11" xfId="47" applyFont="1" applyFill="1" applyBorder="1" applyAlignment="1">
      <alignment vertical="center"/>
    </xf>
    <xf numFmtId="43" fontId="42" fillId="0" borderId="11" xfId="47" applyFont="1" applyFill="1" applyBorder="1" applyAlignment="1">
      <alignment vertical="center"/>
    </xf>
    <xf numFmtId="40" fontId="24" fillId="0" borderId="11" xfId="59" applyNumberFormat="1" applyFont="1" applyFill="1" applyBorder="1" applyAlignment="1">
      <alignment vertical="center"/>
      <protection/>
    </xf>
    <xf numFmtId="40" fontId="42" fillId="0" borderId="11" xfId="59" applyNumberFormat="1" applyFont="1" applyFill="1" applyBorder="1" applyAlignment="1">
      <alignment vertical="center"/>
      <protection/>
    </xf>
    <xf numFmtId="40" fontId="24" fillId="10" borderId="11" xfId="59" applyNumberFormat="1" applyFont="1" applyFill="1" applyBorder="1" applyAlignment="1">
      <alignment vertical="center"/>
      <protection/>
    </xf>
    <xf numFmtId="43" fontId="24" fillId="7" borderId="11" xfId="47" applyFont="1" applyFill="1" applyBorder="1" applyAlignment="1">
      <alignment vertical="center"/>
    </xf>
    <xf numFmtId="43" fontId="24" fillId="0" borderId="11" xfId="47" applyFont="1" applyFill="1" applyBorder="1" applyAlignment="1">
      <alignment horizontal="center" vertical="center"/>
    </xf>
    <xf numFmtId="40" fontId="24" fillId="0" borderId="11" xfId="59" applyNumberFormat="1" applyFont="1" applyFill="1" applyBorder="1" applyAlignment="1">
      <alignment horizontal="center" vertical="center"/>
      <protection/>
    </xf>
    <xf numFmtId="40" fontId="24" fillId="0" borderId="11" xfId="59" applyNumberFormat="1" applyFont="1" applyBorder="1" applyAlignment="1">
      <alignment vertical="center"/>
      <protection/>
    </xf>
    <xf numFmtId="0" fontId="47" fillId="34" borderId="11" xfId="58" applyFont="1" applyFill="1" applyBorder="1" applyAlignment="1">
      <alignment horizontal="left" vertical="center" wrapText="1"/>
      <protection/>
    </xf>
    <xf numFmtId="0" fontId="47" fillId="34" borderId="11" xfId="59" applyFont="1" applyFill="1" applyBorder="1" applyAlignment="1">
      <alignment vertical="center" wrapText="1"/>
      <protection/>
    </xf>
    <xf numFmtId="43" fontId="0" fillId="0" borderId="0" xfId="47" applyFont="1" applyAlignment="1">
      <alignment/>
    </xf>
    <xf numFmtId="43" fontId="0" fillId="0" borderId="0" xfId="47" applyAlignment="1">
      <alignment/>
    </xf>
    <xf numFmtId="43" fontId="46" fillId="0" borderId="0" xfId="47" applyFont="1" applyBorder="1" applyAlignment="1">
      <alignment/>
    </xf>
    <xf numFmtId="43" fontId="0" fillId="0" borderId="0" xfId="47" applyFont="1" applyBorder="1" applyAlignment="1">
      <alignment/>
    </xf>
    <xf numFmtId="0" fontId="25" fillId="10" borderId="13" xfId="59" applyFont="1" applyFill="1" applyBorder="1" applyAlignment="1">
      <alignment horizontal="center" vertical="center" wrapText="1"/>
      <protection/>
    </xf>
    <xf numFmtId="0" fontId="22" fillId="10" borderId="13" xfId="59" applyFont="1" applyFill="1" applyBorder="1" applyAlignment="1">
      <alignment horizontal="center"/>
      <protection/>
    </xf>
    <xf numFmtId="0" fontId="22" fillId="10" borderId="0" xfId="59" applyFont="1" applyFill="1" applyBorder="1" applyAlignment="1">
      <alignment horizontal="center"/>
      <protection/>
    </xf>
    <xf numFmtId="0" fontId="22" fillId="10" borderId="14" xfId="59" applyFont="1" applyFill="1" applyBorder="1" applyAlignment="1">
      <alignment horizontal="center"/>
      <protection/>
    </xf>
    <xf numFmtId="43" fontId="22" fillId="33" borderId="10" xfId="47" applyFont="1" applyFill="1" applyBorder="1" applyAlignment="1">
      <alignment vertical="center"/>
    </xf>
    <xf numFmtId="43" fontId="22" fillId="33" borderId="11" xfId="47" applyFont="1" applyFill="1" applyBorder="1" applyAlignment="1">
      <alignment vertical="center"/>
    </xf>
    <xf numFmtId="40" fontId="22" fillId="33" borderId="15" xfId="59" applyNumberFormat="1" applyFont="1" applyFill="1" applyBorder="1" applyAlignment="1">
      <alignment vertical="center"/>
      <protection/>
    </xf>
    <xf numFmtId="10" fontId="22" fillId="33" borderId="10" xfId="59" applyNumberFormat="1" applyFont="1" applyFill="1" applyBorder="1" applyAlignment="1">
      <alignment vertical="center"/>
      <protection/>
    </xf>
    <xf numFmtId="40" fontId="22" fillId="33" borderId="10" xfId="59" applyNumberFormat="1" applyFont="1" applyFill="1" applyBorder="1" applyAlignment="1">
      <alignment vertical="center"/>
      <protection/>
    </xf>
    <xf numFmtId="40" fontId="22" fillId="33" borderId="11" xfId="59" applyNumberFormat="1" applyFont="1" applyFill="1" applyBorder="1" applyAlignment="1">
      <alignment vertical="center"/>
      <protection/>
    </xf>
    <xf numFmtId="10" fontId="22" fillId="33" borderId="11" xfId="59" applyNumberFormat="1" applyFont="1" applyFill="1" applyBorder="1" applyAlignment="1">
      <alignment vertical="center"/>
      <protection/>
    </xf>
    <xf numFmtId="10" fontId="24" fillId="33" borderId="11" xfId="59" applyNumberFormat="1" applyFont="1" applyFill="1" applyBorder="1" applyAlignment="1">
      <alignment vertical="center"/>
      <protection/>
    </xf>
    <xf numFmtId="43" fontId="48" fillId="11" borderId="11" xfId="47" applyFont="1" applyFill="1" applyBorder="1" applyAlignment="1">
      <alignment vertical="center"/>
    </xf>
    <xf numFmtId="40" fontId="22" fillId="11" borderId="11" xfId="59" applyNumberFormat="1" applyFont="1" applyFill="1" applyBorder="1" applyAlignment="1">
      <alignment vertical="center"/>
      <protection/>
    </xf>
    <xf numFmtId="10" fontId="22" fillId="11" borderId="11" xfId="59" applyNumberFormat="1" applyFont="1" applyFill="1" applyBorder="1" applyAlignment="1">
      <alignment vertical="center"/>
      <protection/>
    </xf>
    <xf numFmtId="40" fontId="48" fillId="11" borderId="11" xfId="59" applyNumberFormat="1" applyFont="1" applyFill="1" applyBorder="1" applyAlignment="1">
      <alignment vertical="center"/>
      <protection/>
    </xf>
    <xf numFmtId="10" fontId="48" fillId="11" borderId="11" xfId="59" applyNumberFormat="1" applyFont="1" applyFill="1" applyBorder="1" applyAlignment="1">
      <alignment vertical="center"/>
      <protection/>
    </xf>
    <xf numFmtId="40" fontId="24" fillId="34" borderId="0" xfId="59" applyNumberFormat="1" applyFont="1" applyFill="1" applyBorder="1">
      <alignment/>
      <protection/>
    </xf>
    <xf numFmtId="10" fontId="24" fillId="34" borderId="0" xfId="59" applyNumberFormat="1" applyFont="1" applyFill="1" applyBorder="1">
      <alignment/>
      <protection/>
    </xf>
    <xf numFmtId="0" fontId="0" fillId="34" borderId="11" xfId="59" applyFont="1" applyFill="1" applyBorder="1" applyAlignment="1">
      <alignment vertical="center"/>
      <protection/>
    </xf>
    <xf numFmtId="0" fontId="0" fillId="34" borderId="11" xfId="58" applyFont="1" applyFill="1" applyBorder="1" applyAlignment="1">
      <alignment vertical="center"/>
      <protection/>
    </xf>
    <xf numFmtId="0" fontId="50" fillId="0" borderId="0" xfId="59" applyFont="1" applyBorder="1" applyAlignment="1">
      <alignment/>
      <protection/>
    </xf>
    <xf numFmtId="0" fontId="51" fillId="0" borderId="0" xfId="59" applyFont="1" applyBorder="1" applyAlignment="1">
      <alignment/>
      <protection/>
    </xf>
    <xf numFmtId="0" fontId="52" fillId="0" borderId="0" xfId="0" applyFont="1" applyAlignment="1">
      <alignment/>
    </xf>
    <xf numFmtId="43" fontId="52" fillId="0" borderId="0" xfId="47" applyFont="1" applyAlignment="1">
      <alignment/>
    </xf>
    <xf numFmtId="43" fontId="0" fillId="0" borderId="0" xfId="47" applyFont="1" applyAlignment="1">
      <alignment/>
    </xf>
    <xf numFmtId="43" fontId="46" fillId="0" borderId="16" xfId="47" applyFont="1" applyBorder="1" applyAlignment="1">
      <alignment/>
    </xf>
    <xf numFmtId="0" fontId="46" fillId="0" borderId="0" xfId="0" applyFont="1" applyAlignment="1">
      <alignment horizontal="right"/>
    </xf>
    <xf numFmtId="43" fontId="46" fillId="0" borderId="17" xfId="47" applyFont="1" applyBorder="1" applyAlignment="1">
      <alignment/>
    </xf>
    <xf numFmtId="0" fontId="0" fillId="34" borderId="0" xfId="0" applyFill="1" applyAlignment="1">
      <alignment/>
    </xf>
    <xf numFmtId="43" fontId="0" fillId="34" borderId="0" xfId="47" applyFont="1" applyFill="1" applyAlignment="1">
      <alignment/>
    </xf>
    <xf numFmtId="43" fontId="0" fillId="34" borderId="18" xfId="47" applyFont="1" applyFill="1" applyBorder="1" applyAlignment="1">
      <alignment/>
    </xf>
    <xf numFmtId="0" fontId="0" fillId="0" borderId="11" xfId="0" applyBorder="1" applyAlignment="1">
      <alignment/>
    </xf>
    <xf numFmtId="43" fontId="0" fillId="0" borderId="11" xfId="47" applyFont="1" applyBorder="1" applyAlignment="1">
      <alignment/>
    </xf>
    <xf numFmtId="0" fontId="0" fillId="34" borderId="11" xfId="0" applyFill="1" applyBorder="1" applyAlignment="1">
      <alignment/>
    </xf>
    <xf numFmtId="43" fontId="0" fillId="34" borderId="11" xfId="47" applyFont="1" applyFill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 horizontal="right"/>
    </xf>
    <xf numFmtId="0" fontId="46" fillId="34" borderId="0" xfId="0" applyFont="1" applyFill="1" applyAlignment="1">
      <alignment horizontal="right"/>
    </xf>
    <xf numFmtId="43" fontId="46" fillId="34" borderId="16" xfId="47" applyFont="1" applyFill="1" applyBorder="1" applyAlignment="1">
      <alignment/>
    </xf>
    <xf numFmtId="43" fontId="46" fillId="34" borderId="0" xfId="47" applyFont="1" applyFill="1" applyBorder="1" applyAlignment="1">
      <alignment/>
    </xf>
    <xf numFmtId="0" fontId="52" fillId="34" borderId="0" xfId="0" applyFont="1" applyFill="1" applyAlignment="1">
      <alignment/>
    </xf>
    <xf numFmtId="43" fontId="52" fillId="34" borderId="0" xfId="47" applyFont="1" applyFill="1" applyAlignment="1">
      <alignment/>
    </xf>
    <xf numFmtId="0" fontId="0" fillId="0" borderId="10" xfId="0" applyBorder="1" applyAlignment="1">
      <alignment/>
    </xf>
    <xf numFmtId="43" fontId="0" fillId="0" borderId="10" xfId="47" applyFont="1" applyBorder="1" applyAlignment="1">
      <alignment/>
    </xf>
    <xf numFmtId="0" fontId="0" fillId="0" borderId="11" xfId="58" applyFont="1" applyFill="1" applyBorder="1">
      <alignment/>
      <protection/>
    </xf>
    <xf numFmtId="43" fontId="0" fillId="0" borderId="0" xfId="47" applyBorder="1" applyAlignment="1">
      <alignment/>
    </xf>
    <xf numFmtId="43" fontId="50" fillId="0" borderId="0" xfId="47" applyFont="1" applyBorder="1" applyAlignment="1">
      <alignment/>
    </xf>
    <xf numFmtId="43" fontId="51" fillId="0" borderId="0" xfId="47" applyFont="1" applyBorder="1" applyAlignment="1">
      <alignment/>
    </xf>
    <xf numFmtId="43" fontId="0" fillId="0" borderId="0" xfId="47" applyFont="1" applyAlignment="1">
      <alignment/>
    </xf>
    <xf numFmtId="43" fontId="52" fillId="0" borderId="0" xfId="47" applyFont="1" applyBorder="1" applyAlignment="1">
      <alignment/>
    </xf>
    <xf numFmtId="43" fontId="0" fillId="34" borderId="0" xfId="47" applyFont="1" applyFill="1" applyAlignment="1">
      <alignment/>
    </xf>
    <xf numFmtId="43" fontId="52" fillId="34" borderId="0" xfId="47" applyFont="1" applyFill="1" applyAlignment="1">
      <alignment/>
    </xf>
    <xf numFmtId="43" fontId="53" fillId="0" borderId="0" xfId="47" applyFont="1" applyAlignment="1">
      <alignment/>
    </xf>
    <xf numFmtId="43" fontId="54" fillId="0" borderId="0" xfId="47" applyFont="1" applyAlignment="1">
      <alignment/>
    </xf>
    <xf numFmtId="43" fontId="0" fillId="0" borderId="0" xfId="47" applyFont="1" applyAlignment="1">
      <alignment/>
    </xf>
    <xf numFmtId="0" fontId="0" fillId="0" borderId="11" xfId="58" applyFont="1" applyFill="1" applyBorder="1" applyAlignment="1">
      <alignment vertical="center"/>
      <protection/>
    </xf>
    <xf numFmtId="43" fontId="0" fillId="0" borderId="0" xfId="47" applyFont="1" applyAlignment="1">
      <alignment/>
    </xf>
    <xf numFmtId="43" fontId="0" fillId="33" borderId="0" xfId="47" applyFont="1" applyFill="1" applyAlignment="1">
      <alignment/>
    </xf>
    <xf numFmtId="0" fontId="0" fillId="33" borderId="0" xfId="0" applyFill="1" applyAlignment="1">
      <alignment/>
    </xf>
    <xf numFmtId="43" fontId="0" fillId="34" borderId="10" xfId="47" applyFont="1" applyFill="1" applyBorder="1" applyAlignment="1">
      <alignment/>
    </xf>
    <xf numFmtId="10" fontId="0" fillId="0" borderId="0" xfId="59" applyNumberFormat="1">
      <alignment/>
      <protection/>
    </xf>
    <xf numFmtId="43" fontId="22" fillId="11" borderId="11" xfId="47" applyFont="1" applyFill="1" applyBorder="1" applyAlignment="1">
      <alignment vertical="center"/>
    </xf>
    <xf numFmtId="10" fontId="0" fillId="0" borderId="0" xfId="59" applyNumberFormat="1" applyFont="1" applyBorder="1">
      <alignment/>
      <protection/>
    </xf>
    <xf numFmtId="0" fontId="0" fillId="34" borderId="11" xfId="58" applyFont="1" applyFill="1" applyBorder="1">
      <alignment/>
      <protection/>
    </xf>
    <xf numFmtId="0" fontId="24" fillId="0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47" fillId="34" borderId="11" xfId="58" applyFont="1" applyFill="1" applyBorder="1" applyAlignment="1">
      <alignment horizontal="left" vertical="center"/>
      <protection/>
    </xf>
    <xf numFmtId="0" fontId="0" fillId="34" borderId="11" xfId="58" applyFont="1" applyFill="1" applyBorder="1" applyAlignment="1">
      <alignment vertical="center"/>
      <protection/>
    </xf>
    <xf numFmtId="0" fontId="46" fillId="33" borderId="11" xfId="59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vertical="center"/>
      <protection/>
    </xf>
    <xf numFmtId="0" fontId="0" fillId="34" borderId="11" xfId="58" applyFont="1" applyFill="1" applyBorder="1">
      <alignment/>
      <protection/>
    </xf>
    <xf numFmtId="0" fontId="0" fillId="0" borderId="11" xfId="59" applyFont="1" applyFill="1" applyBorder="1">
      <alignment/>
      <protection/>
    </xf>
    <xf numFmtId="0" fontId="46" fillId="33" borderId="11" xfId="59" applyFont="1" applyFill="1" applyBorder="1" applyAlignment="1">
      <alignment vertical="center" wrapText="1"/>
      <protection/>
    </xf>
    <xf numFmtId="40" fontId="24" fillId="33" borderId="11" xfId="59" applyNumberFormat="1" applyFont="1" applyFill="1" applyBorder="1" applyAlignment="1">
      <alignment vertical="center"/>
      <protection/>
    </xf>
    <xf numFmtId="40" fontId="24" fillId="34" borderId="11" xfId="59" applyNumberFormat="1" applyFont="1" applyFill="1" applyBorder="1" applyAlignment="1">
      <alignment vertical="center"/>
      <protection/>
    </xf>
    <xf numFmtId="10" fontId="24" fillId="34" borderId="11" xfId="59" applyNumberFormat="1" applyFont="1" applyFill="1" applyBorder="1" applyAlignment="1">
      <alignment vertical="center"/>
      <protection/>
    </xf>
    <xf numFmtId="40" fontId="22" fillId="34" borderId="11" xfId="59" applyNumberFormat="1" applyFont="1" applyFill="1" applyBorder="1" applyAlignment="1">
      <alignment vertical="center"/>
      <protection/>
    </xf>
    <xf numFmtId="43" fontId="24" fillId="34" borderId="11" xfId="59" applyNumberFormat="1" applyFont="1" applyFill="1" applyBorder="1" applyAlignment="1">
      <alignment vertical="center"/>
      <protection/>
    </xf>
    <xf numFmtId="43" fontId="49" fillId="0" borderId="0" xfId="59" applyNumberFormat="1" applyFont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9" applyFont="1" applyFill="1" applyBorder="1">
      <alignment/>
      <protection/>
    </xf>
    <xf numFmtId="0" fontId="0" fillId="0" borderId="11" xfId="58" applyFont="1" applyFill="1" applyBorder="1">
      <alignment/>
      <protection/>
    </xf>
    <xf numFmtId="0" fontId="0" fillId="34" borderId="11" xfId="58" applyFont="1" applyFill="1" applyBorder="1">
      <alignment/>
      <protection/>
    </xf>
    <xf numFmtId="0" fontId="0" fillId="34" borderId="11" xfId="58" applyFont="1" applyFill="1" applyBorder="1">
      <alignment/>
      <protection/>
    </xf>
    <xf numFmtId="43" fontId="0" fillId="0" borderId="0" xfId="59" applyNumberFormat="1">
      <alignment/>
      <protection/>
    </xf>
    <xf numFmtId="0" fontId="25" fillId="10" borderId="19" xfId="59" applyFont="1" applyFill="1" applyBorder="1" applyAlignment="1">
      <alignment horizontal="center" vertical="center" wrapText="1"/>
      <protection/>
    </xf>
    <xf numFmtId="0" fontId="25" fillId="10" borderId="20" xfId="59" applyFont="1" applyFill="1" applyBorder="1" applyAlignment="1">
      <alignment horizontal="center" vertical="center" wrapText="1"/>
      <protection/>
    </xf>
    <xf numFmtId="49" fontId="25" fillId="10" borderId="14" xfId="47" applyNumberFormat="1" applyFont="1" applyFill="1" applyBorder="1" applyAlignment="1">
      <alignment horizontal="center" vertical="center" wrapText="1"/>
    </xf>
    <xf numFmtId="0" fontId="0" fillId="0" borderId="0" xfId="59" applyBorder="1" applyAlignment="1">
      <alignment horizontal="center"/>
      <protection/>
    </xf>
    <xf numFmtId="0" fontId="50" fillId="0" borderId="0" xfId="59" applyFont="1" applyBorder="1" applyAlignment="1">
      <alignment horizontal="center"/>
      <protection/>
    </xf>
    <xf numFmtId="0" fontId="51" fillId="0" borderId="0" xfId="59" applyFont="1" applyBorder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22" fillId="10" borderId="13" xfId="59" applyFont="1" applyFill="1" applyBorder="1" applyAlignment="1">
      <alignment horizontal="center" vertical="center" wrapText="1"/>
      <protection/>
    </xf>
    <xf numFmtId="0" fontId="22" fillId="10" borderId="14" xfId="59" applyFont="1" applyFill="1" applyBorder="1" applyAlignment="1">
      <alignment horizontal="center" vertical="center" wrapText="1"/>
      <protection/>
    </xf>
    <xf numFmtId="0" fontId="46" fillId="11" borderId="11" xfId="59" applyFont="1" applyFill="1" applyBorder="1" applyAlignment="1">
      <alignment horizontal="left"/>
      <protection/>
    </xf>
    <xf numFmtId="0" fontId="50" fillId="10" borderId="21" xfId="0" applyFont="1" applyFill="1" applyBorder="1" applyAlignment="1">
      <alignment horizontal="center" vertical="center"/>
    </xf>
    <xf numFmtId="0" fontId="50" fillId="10" borderId="22" xfId="0" applyFont="1" applyFill="1" applyBorder="1" applyAlignment="1">
      <alignment horizontal="center" vertical="center"/>
    </xf>
    <xf numFmtId="0" fontId="50" fillId="10" borderId="23" xfId="0" applyFont="1" applyFill="1" applyBorder="1" applyAlignment="1">
      <alignment horizontal="center" vertical="center"/>
    </xf>
    <xf numFmtId="0" fontId="25" fillId="10" borderId="24" xfId="59" applyFont="1" applyFill="1" applyBorder="1" applyAlignment="1">
      <alignment horizontal="center" vertical="center"/>
      <protection/>
    </xf>
    <xf numFmtId="0" fontId="25" fillId="10" borderId="25" xfId="59" applyFont="1" applyFill="1" applyBorder="1" applyAlignment="1">
      <alignment horizontal="center" vertical="center"/>
      <protection/>
    </xf>
    <xf numFmtId="0" fontId="52" fillId="34" borderId="0" xfId="0" applyFont="1" applyFill="1" applyAlignment="1">
      <alignment horizontal="center"/>
    </xf>
    <xf numFmtId="0" fontId="52" fillId="8" borderId="21" xfId="0" applyFont="1" applyFill="1" applyBorder="1" applyAlignment="1">
      <alignment horizontal="center"/>
    </xf>
    <xf numFmtId="0" fontId="52" fillId="8" borderId="22" xfId="0" applyFont="1" applyFill="1" applyBorder="1" applyAlignment="1">
      <alignment horizontal="center"/>
    </xf>
    <xf numFmtId="0" fontId="52" fillId="8" borderId="23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34" borderId="22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4 2" xfId="59"/>
    <cellStyle name="Normal 4 3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19050</xdr:rowOff>
    </xdr:from>
    <xdr:to>
      <xdr:col>6</xdr:col>
      <xdr:colOff>323850</xdr:colOff>
      <xdr:row>4</xdr:row>
      <xdr:rowOff>9525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90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137</xdr:row>
      <xdr:rowOff>38100</xdr:rowOff>
    </xdr:from>
    <xdr:to>
      <xdr:col>10</xdr:col>
      <xdr:colOff>152400</xdr:colOff>
      <xdr:row>148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25688925"/>
          <a:ext cx="38290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0</xdr:row>
      <xdr:rowOff>19050</xdr:rowOff>
    </xdr:from>
    <xdr:to>
      <xdr:col>1</xdr:col>
      <xdr:colOff>2619375</xdr:colOff>
      <xdr:row>3</xdr:row>
      <xdr:rowOff>180975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53"/>
  <sheetViews>
    <sheetView tabSelected="1" zoomScale="85" zoomScaleNormal="85" zoomScalePageLayoutView="0" workbookViewId="0" topLeftCell="A146">
      <selection activeCell="P146" sqref="P146"/>
    </sheetView>
  </sheetViews>
  <sheetFormatPr defaultColWidth="11.421875" defaultRowHeight="15"/>
  <cols>
    <col min="1" max="1" width="9.57421875" style="4" customWidth="1"/>
    <col min="2" max="2" width="47.7109375" style="4" customWidth="1"/>
    <col min="3" max="3" width="16.8515625" style="129" bestFit="1" customWidth="1"/>
    <col min="4" max="4" width="14.28125" style="18" bestFit="1" customWidth="1"/>
    <col min="5" max="6" width="15.140625" style="18" bestFit="1" customWidth="1"/>
    <col min="7" max="7" width="7.7109375" style="18" bestFit="1" customWidth="1"/>
    <col min="8" max="8" width="6.00390625" style="18" bestFit="1" customWidth="1"/>
    <col min="9" max="9" width="6.7109375" style="18" bestFit="1" customWidth="1"/>
    <col min="10" max="10" width="6.57421875" style="18" bestFit="1" customWidth="1"/>
    <col min="11" max="11" width="6.00390625" style="18" bestFit="1" customWidth="1"/>
    <col min="12" max="12" width="7.140625" style="18" customWidth="1"/>
    <col min="13" max="13" width="5.7109375" style="18" bestFit="1" customWidth="1"/>
    <col min="14" max="14" width="5.140625" style="18" bestFit="1" customWidth="1"/>
    <col min="15" max="15" width="5.7109375" style="18" bestFit="1" customWidth="1"/>
    <col min="16" max="16" width="5.140625" style="18" bestFit="1" customWidth="1"/>
    <col min="17" max="17" width="17.00390625" style="18" bestFit="1" customWidth="1"/>
    <col min="18" max="18" width="11.7109375" style="18" bestFit="1" customWidth="1"/>
    <col min="19" max="19" width="15.00390625" style="4" hidden="1" customWidth="1"/>
    <col min="20" max="20" width="13.8515625" style="4" hidden="1" customWidth="1"/>
    <col min="21" max="21" width="16.8515625" style="18" bestFit="1" customWidth="1"/>
    <col min="22" max="22" width="11.57421875" style="18" bestFit="1" customWidth="1"/>
    <col min="23" max="23" width="20.140625" style="4" bestFit="1" customWidth="1"/>
    <col min="24" max="24" width="13.28125" style="4" bestFit="1" customWidth="1"/>
    <col min="25" max="16384" width="11.421875" style="4" customWidth="1"/>
  </cols>
  <sheetData>
    <row r="1" ht="15"/>
    <row r="2" ht="15"/>
    <row r="3" spans="1:22" ht="15">
      <c r="A3" s="2"/>
      <c r="B3" s="162"/>
      <c r="C3" s="6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62"/>
      <c r="C4" s="6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63" t="s">
        <v>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ht="21">
      <c r="A6" s="164" t="s">
        <v>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16.5" customHeight="1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21">
      <c r="A8" s="164" t="s">
        <v>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</row>
    <row r="9" spans="1:22" ht="18.75">
      <c r="A9" s="163" t="s">
        <v>273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</row>
    <row r="10" spans="1:22" ht="6" customHeight="1">
      <c r="A10" s="2"/>
      <c r="B10" s="2"/>
      <c r="C10" s="6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6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6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166" t="s">
        <v>4</v>
      </c>
      <c r="B13" s="172" t="s">
        <v>5</v>
      </c>
      <c r="C13" s="72" t="s">
        <v>320</v>
      </c>
      <c r="D13" s="159" t="s">
        <v>166</v>
      </c>
      <c r="E13" s="169" t="s">
        <v>6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  <c r="Q13" s="73" t="s">
        <v>7</v>
      </c>
      <c r="R13" s="73" t="s">
        <v>8</v>
      </c>
      <c r="S13" s="74" t="s">
        <v>7</v>
      </c>
      <c r="T13" s="74" t="s">
        <v>9</v>
      </c>
      <c r="U13" s="73" t="s">
        <v>139</v>
      </c>
      <c r="V13" s="73" t="s">
        <v>271</v>
      </c>
    </row>
    <row r="14" spans="1:22" ht="15" customHeight="1" thickBot="1">
      <c r="A14" s="167"/>
      <c r="B14" s="173"/>
      <c r="C14" s="161" t="s">
        <v>321</v>
      </c>
      <c r="D14" s="160" t="s">
        <v>167</v>
      </c>
      <c r="E14" s="75" t="s">
        <v>10</v>
      </c>
      <c r="F14" s="75" t="s">
        <v>11</v>
      </c>
      <c r="G14" s="75" t="s">
        <v>12</v>
      </c>
      <c r="H14" s="75" t="s">
        <v>153</v>
      </c>
      <c r="I14" s="75" t="s">
        <v>13</v>
      </c>
      <c r="J14" s="75" t="s">
        <v>14</v>
      </c>
      <c r="K14" s="75" t="s">
        <v>15</v>
      </c>
      <c r="L14" s="75" t="s">
        <v>194</v>
      </c>
      <c r="M14" s="75" t="s">
        <v>185</v>
      </c>
      <c r="N14" s="75" t="s">
        <v>186</v>
      </c>
      <c r="O14" s="75" t="s">
        <v>187</v>
      </c>
      <c r="P14" s="75" t="s">
        <v>188</v>
      </c>
      <c r="Q14" s="75" t="s">
        <v>16</v>
      </c>
      <c r="R14" s="75" t="s">
        <v>16</v>
      </c>
      <c r="S14" s="74" t="s">
        <v>17</v>
      </c>
      <c r="T14" s="74" t="s">
        <v>17</v>
      </c>
      <c r="U14" s="75" t="s">
        <v>138</v>
      </c>
      <c r="V14" s="75" t="s">
        <v>138</v>
      </c>
    </row>
    <row r="15" spans="1:22" ht="15">
      <c r="A15" s="31" t="s">
        <v>18</v>
      </c>
      <c r="B15" s="5" t="s">
        <v>19</v>
      </c>
      <c r="C15" s="76">
        <f>+C16+C17+C18+C19+C20+C21+C22+C23+C24+C25</f>
        <v>1283753724.24</v>
      </c>
      <c r="D15" s="76"/>
      <c r="E15" s="76">
        <f>+E16+E17+E18+E19+E21+E22+E23+E24+E25</f>
        <v>104147051.1</v>
      </c>
      <c r="F15" s="76">
        <f>+F16+F17+F18+F19+F20+F21+F22+F23+F24+F25</f>
        <v>103766706.87</v>
      </c>
      <c r="G15" s="76">
        <f aca="true" t="shared" si="0" ref="G15:P15">+G16+G17+G18+G19+G21+G22+G23+G24+G25</f>
        <v>0</v>
      </c>
      <c r="H15" s="76">
        <f t="shared" si="0"/>
        <v>0</v>
      </c>
      <c r="I15" s="76">
        <f t="shared" si="0"/>
        <v>0</v>
      </c>
      <c r="J15" s="76">
        <f t="shared" si="0"/>
        <v>0</v>
      </c>
      <c r="K15" s="76">
        <f t="shared" si="0"/>
        <v>0</v>
      </c>
      <c r="L15" s="76">
        <f t="shared" si="0"/>
        <v>0</v>
      </c>
      <c r="M15" s="76">
        <f t="shared" si="0"/>
        <v>0</v>
      </c>
      <c r="N15" s="76">
        <f t="shared" si="0"/>
        <v>0</v>
      </c>
      <c r="O15" s="76">
        <f t="shared" si="0"/>
        <v>0</v>
      </c>
      <c r="P15" s="76">
        <f t="shared" si="0"/>
        <v>0</v>
      </c>
      <c r="Q15" s="78">
        <f>SUM(E15:P15)</f>
        <v>207913757.97</v>
      </c>
      <c r="R15" s="79">
        <f>+Q15/(C15+D15)</f>
        <v>0.16195766683604976</v>
      </c>
      <c r="S15" s="80">
        <f>SUM(S16:S25)</f>
        <v>1075839966.27</v>
      </c>
      <c r="T15" s="79">
        <f aca="true" t="shared" si="1" ref="T15:T26">+S15/C15</f>
        <v>0.8380423331639503</v>
      </c>
      <c r="U15" s="81">
        <f>+C15+D15-Q15</f>
        <v>1075839966.27</v>
      </c>
      <c r="V15" s="79">
        <f aca="true" t="shared" si="2" ref="V15:V26">+U15/C15</f>
        <v>0.8380423331639503</v>
      </c>
    </row>
    <row r="16" spans="1:29" ht="15">
      <c r="A16" s="136" t="s">
        <v>95</v>
      </c>
      <c r="B16" s="27" t="s">
        <v>20</v>
      </c>
      <c r="C16" s="47">
        <f>1049085379.44-500000-91200000</f>
        <v>957385379.44</v>
      </c>
      <c r="D16" s="48"/>
      <c r="E16" s="48">
        <v>75431511.06</v>
      </c>
      <c r="F16" s="47">
        <v>75291140.46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147">
        <f>SUM(E16:P16)</f>
        <v>150722651.51999998</v>
      </c>
      <c r="R16" s="148">
        <f>+Q16/(C16+D16)</f>
        <v>0.15743153672156726</v>
      </c>
      <c r="S16" s="147">
        <f aca="true" t="shared" si="3" ref="S16:S25">+C16-Q16</f>
        <v>806662727.9200001</v>
      </c>
      <c r="T16" s="148">
        <f t="shared" si="1"/>
        <v>0.8425684632784327</v>
      </c>
      <c r="U16" s="147">
        <f>+C16+D16-Q16</f>
        <v>806662727.9200001</v>
      </c>
      <c r="V16" s="148">
        <f t="shared" si="2"/>
        <v>0.8425684632784327</v>
      </c>
      <c r="W16" s="3"/>
      <c r="X16" s="3"/>
      <c r="Y16" s="3"/>
      <c r="Z16" s="3"/>
      <c r="AA16" s="3"/>
      <c r="AB16" s="3"/>
      <c r="AC16" s="3"/>
    </row>
    <row r="17" spans="1:29" ht="15">
      <c r="A17" s="136" t="s">
        <v>189</v>
      </c>
      <c r="B17" s="27" t="s">
        <v>190</v>
      </c>
      <c r="C17" s="47">
        <v>144000000</v>
      </c>
      <c r="D17" s="48"/>
      <c r="E17" s="48">
        <v>16400000</v>
      </c>
      <c r="F17" s="47">
        <v>15800000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147">
        <f aca="true" t="shared" si="4" ref="Q17:Q25">SUM(E17:P17)</f>
        <v>32200000</v>
      </c>
      <c r="R17" s="148">
        <f aca="true" t="shared" si="5" ref="R17:R25">+Q17/(C17+D17)</f>
        <v>0.22361111111111112</v>
      </c>
      <c r="S17" s="147">
        <f t="shared" si="3"/>
        <v>111800000</v>
      </c>
      <c r="T17" s="148">
        <f t="shared" si="1"/>
        <v>0.7763888888888889</v>
      </c>
      <c r="U17" s="147">
        <f>+C17+D17-Q17</f>
        <v>111800000</v>
      </c>
      <c r="V17" s="148">
        <f t="shared" si="2"/>
        <v>0.7763888888888889</v>
      </c>
      <c r="W17" s="3"/>
      <c r="X17" s="3"/>
      <c r="Y17" s="3"/>
      <c r="Z17" s="3"/>
      <c r="AA17" s="3"/>
      <c r="AB17" s="3"/>
      <c r="AC17" s="3"/>
    </row>
    <row r="18" spans="1:29" ht="15">
      <c r="A18" s="136" t="s">
        <v>96</v>
      </c>
      <c r="B18" s="27" t="s">
        <v>21</v>
      </c>
      <c r="C18" s="47">
        <v>34138799</v>
      </c>
      <c r="D18" s="48"/>
      <c r="E18" s="48">
        <v>0</v>
      </c>
      <c r="F18" s="47">
        <v>16866.67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147">
        <f t="shared" si="4"/>
        <v>16866.67</v>
      </c>
      <c r="R18" s="148">
        <f t="shared" si="5"/>
        <v>0.0004940616100759724</v>
      </c>
      <c r="S18" s="147">
        <f t="shared" si="3"/>
        <v>34121932.33</v>
      </c>
      <c r="T18" s="148">
        <f t="shared" si="1"/>
        <v>0.999505938389924</v>
      </c>
      <c r="U18" s="147">
        <f aca="true" t="shared" si="6" ref="U18:U25">+C18-Q18</f>
        <v>34121932.33</v>
      </c>
      <c r="V18" s="148">
        <f t="shared" si="2"/>
        <v>0.999505938389924</v>
      </c>
      <c r="W18" s="3"/>
      <c r="X18" s="3"/>
      <c r="Y18" s="3"/>
      <c r="Z18" s="3"/>
      <c r="AA18" s="3"/>
      <c r="AB18" s="3"/>
      <c r="AC18" s="3"/>
    </row>
    <row r="19" spans="1:29" ht="15">
      <c r="A19" s="92" t="s">
        <v>97</v>
      </c>
      <c r="B19" s="139" t="s">
        <v>22</v>
      </c>
      <c r="C19" s="47">
        <v>29880000</v>
      </c>
      <c r="D19" s="48"/>
      <c r="E19" s="48">
        <v>2342402</v>
      </c>
      <c r="F19" s="47">
        <v>2533722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147">
        <f t="shared" si="4"/>
        <v>4876124</v>
      </c>
      <c r="R19" s="148">
        <f t="shared" si="5"/>
        <v>0.16319022757697457</v>
      </c>
      <c r="S19" s="147">
        <f t="shared" si="3"/>
        <v>25003876</v>
      </c>
      <c r="T19" s="148">
        <f t="shared" si="1"/>
        <v>0.8368097724230255</v>
      </c>
      <c r="U19" s="147">
        <f t="shared" si="6"/>
        <v>25003876</v>
      </c>
      <c r="V19" s="148">
        <f t="shared" si="2"/>
        <v>0.8368097724230255</v>
      </c>
      <c r="W19" s="3"/>
      <c r="X19" s="3"/>
      <c r="Y19" s="3"/>
      <c r="Z19" s="3"/>
      <c r="AA19" s="3"/>
      <c r="AB19" s="3"/>
      <c r="AC19" s="3"/>
    </row>
    <row r="20" spans="1:29" ht="15">
      <c r="A20" s="152" t="s">
        <v>299</v>
      </c>
      <c r="B20" s="139" t="s">
        <v>300</v>
      </c>
      <c r="C20" s="47">
        <v>3850000</v>
      </c>
      <c r="D20" s="48"/>
      <c r="E20" s="48">
        <v>0</v>
      </c>
      <c r="F20" s="47">
        <v>350000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147">
        <f t="shared" si="4"/>
        <v>350000</v>
      </c>
      <c r="R20" s="148">
        <f t="shared" si="5"/>
        <v>0.09090909090909091</v>
      </c>
      <c r="S20" s="147">
        <f t="shared" si="3"/>
        <v>3500000</v>
      </c>
      <c r="T20" s="148">
        <f t="shared" si="1"/>
        <v>0.9090909090909091</v>
      </c>
      <c r="U20" s="147">
        <f>+C20-Q20</f>
        <v>3500000</v>
      </c>
      <c r="V20" s="148">
        <f t="shared" si="2"/>
        <v>0.9090909090909091</v>
      </c>
      <c r="W20" s="3"/>
      <c r="X20" s="3"/>
      <c r="Y20" s="3"/>
      <c r="Z20" s="3"/>
      <c r="AA20" s="3"/>
      <c r="AB20" s="3"/>
      <c r="AC20" s="3"/>
    </row>
    <row r="21" spans="1:29" ht="15">
      <c r="A21" s="140" t="s">
        <v>141</v>
      </c>
      <c r="B21" s="139" t="s">
        <v>191</v>
      </c>
      <c r="C21" s="47">
        <v>500000</v>
      </c>
      <c r="D21" s="48"/>
      <c r="E21" s="48">
        <v>416500</v>
      </c>
      <c r="F21" s="47">
        <v>66500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147">
        <f t="shared" si="4"/>
        <v>483000</v>
      </c>
      <c r="R21" s="150">
        <f>+Q21/(C21+D21)</f>
        <v>0.966</v>
      </c>
      <c r="S21" s="147">
        <f>+C21-Q21</f>
        <v>17000</v>
      </c>
      <c r="T21" s="148">
        <f>+S21/C21</f>
        <v>0.034</v>
      </c>
      <c r="U21" s="147">
        <f t="shared" si="6"/>
        <v>17000</v>
      </c>
      <c r="V21" s="148">
        <f t="shared" si="2"/>
        <v>0.034</v>
      </c>
      <c r="W21" s="3"/>
      <c r="X21" s="3"/>
      <c r="Y21" s="3"/>
      <c r="Z21" s="3"/>
      <c r="AA21" s="3"/>
      <c r="AB21" s="3"/>
      <c r="AC21" s="3"/>
    </row>
    <row r="22" spans="1:29" ht="30">
      <c r="A22" s="140" t="s">
        <v>192</v>
      </c>
      <c r="B22" s="66" t="s">
        <v>287</v>
      </c>
      <c r="C22" s="47">
        <v>91200000</v>
      </c>
      <c r="D22" s="48"/>
      <c r="E22" s="48">
        <v>7660435</v>
      </c>
      <c r="F22" s="47">
        <v>7659850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147">
        <f t="shared" si="4"/>
        <v>15320285</v>
      </c>
      <c r="R22" s="148">
        <f t="shared" si="5"/>
        <v>0.16798558114035086</v>
      </c>
      <c r="S22" s="147">
        <f>+C22-Q22</f>
        <v>75879715</v>
      </c>
      <c r="T22" s="148">
        <f>+S22/C22</f>
        <v>0.8320144188596491</v>
      </c>
      <c r="U22" s="147">
        <f t="shared" si="6"/>
        <v>75879715</v>
      </c>
      <c r="V22" s="148">
        <f t="shared" si="2"/>
        <v>0.8320144188596491</v>
      </c>
      <c r="W22" s="3"/>
      <c r="X22" s="3"/>
      <c r="Y22" s="3"/>
      <c r="Z22" s="3"/>
      <c r="AA22" s="3"/>
      <c r="AB22" s="3"/>
      <c r="AC22" s="3"/>
    </row>
    <row r="23" spans="1:29" ht="15">
      <c r="A23" s="92" t="s">
        <v>131</v>
      </c>
      <c r="B23" s="67" t="s">
        <v>200</v>
      </c>
      <c r="C23" s="47">
        <v>450000</v>
      </c>
      <c r="D23" s="48"/>
      <c r="E23" s="48">
        <v>76280.46</v>
      </c>
      <c r="F23" s="47">
        <v>145908.62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147">
        <f t="shared" si="4"/>
        <v>222189.08000000002</v>
      </c>
      <c r="R23" s="148">
        <f t="shared" si="5"/>
        <v>0.49375351111111115</v>
      </c>
      <c r="S23" s="147">
        <f t="shared" si="3"/>
        <v>227810.91999999998</v>
      </c>
      <c r="T23" s="148">
        <f t="shared" si="1"/>
        <v>0.5062464888888889</v>
      </c>
      <c r="U23" s="147">
        <f t="shared" si="6"/>
        <v>227810.91999999998</v>
      </c>
      <c r="V23" s="148">
        <f t="shared" si="2"/>
        <v>0.5062464888888889</v>
      </c>
      <c r="W23" s="3"/>
      <c r="X23" s="3"/>
      <c r="Y23" s="3"/>
      <c r="Z23" s="3"/>
      <c r="AA23" s="3"/>
      <c r="AB23" s="3"/>
      <c r="AC23" s="3"/>
    </row>
    <row r="24" spans="1:29" ht="15">
      <c r="A24" s="136" t="s">
        <v>98</v>
      </c>
      <c r="B24" s="27" t="s">
        <v>23</v>
      </c>
      <c r="C24" s="47">
        <v>19323121.8</v>
      </c>
      <c r="D24" s="48"/>
      <c r="E24" s="48">
        <v>1575484.48</v>
      </c>
      <c r="F24" s="47">
        <v>1647160.54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147">
        <f t="shared" si="4"/>
        <v>3222645.02</v>
      </c>
      <c r="R24" s="148">
        <f t="shared" si="5"/>
        <v>0.16677662405460797</v>
      </c>
      <c r="S24" s="147">
        <f t="shared" si="3"/>
        <v>16100476.780000001</v>
      </c>
      <c r="T24" s="148">
        <f t="shared" si="1"/>
        <v>0.8332233759453921</v>
      </c>
      <c r="U24" s="147">
        <f t="shared" si="6"/>
        <v>16100476.780000001</v>
      </c>
      <c r="V24" s="148">
        <f t="shared" si="2"/>
        <v>0.8332233759453921</v>
      </c>
      <c r="W24" s="3"/>
      <c r="X24" s="3"/>
      <c r="Y24" s="3"/>
      <c r="Z24" s="3"/>
      <c r="AA24" s="3"/>
      <c r="AB24" s="3"/>
      <c r="AC24" s="3"/>
    </row>
    <row r="25" spans="1:29" ht="15">
      <c r="A25" s="92" t="s">
        <v>170</v>
      </c>
      <c r="B25" s="66" t="s">
        <v>99</v>
      </c>
      <c r="C25" s="47">
        <v>3026424</v>
      </c>
      <c r="D25" s="48"/>
      <c r="E25" s="48">
        <v>244438.1</v>
      </c>
      <c r="F25" s="47">
        <v>255558.58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147">
        <f t="shared" si="4"/>
        <v>499996.68</v>
      </c>
      <c r="R25" s="148">
        <f t="shared" si="5"/>
        <v>0.1652103869120784</v>
      </c>
      <c r="S25" s="147">
        <f t="shared" si="3"/>
        <v>2526427.32</v>
      </c>
      <c r="T25" s="148">
        <f t="shared" si="1"/>
        <v>0.8347896130879215</v>
      </c>
      <c r="U25" s="147">
        <f t="shared" si="6"/>
        <v>2526427.32</v>
      </c>
      <c r="V25" s="148">
        <f t="shared" si="2"/>
        <v>0.8347896130879215</v>
      </c>
      <c r="W25" s="3"/>
      <c r="X25" s="3"/>
      <c r="Y25" s="3"/>
      <c r="Z25" s="3"/>
      <c r="AA25" s="3"/>
      <c r="AB25" s="3"/>
      <c r="AC25" s="3"/>
    </row>
    <row r="26" spans="1:29" s="7" customFormat="1" ht="15">
      <c r="A26" s="23" t="s">
        <v>24</v>
      </c>
      <c r="B26" s="8" t="s">
        <v>25</v>
      </c>
      <c r="C26" s="77">
        <f>+C28+C29+C30+C31+C32</f>
        <v>43317325</v>
      </c>
      <c r="D26" s="77"/>
      <c r="E26" s="77">
        <f>+E28+E29+E30+E31+E32</f>
        <v>4208438.779999999</v>
      </c>
      <c r="F26" s="77">
        <f>+F28+F29+F30+F31+F32</f>
        <v>4081338.62</v>
      </c>
      <c r="G26" s="77">
        <f aca="true" t="shared" si="7" ref="G26:P26">+G28+G29+G30+G31+G32</f>
        <v>0</v>
      </c>
      <c r="H26" s="77">
        <f t="shared" si="7"/>
        <v>0</v>
      </c>
      <c r="I26" s="77">
        <f t="shared" si="7"/>
        <v>0</v>
      </c>
      <c r="J26" s="77">
        <f t="shared" si="7"/>
        <v>0</v>
      </c>
      <c r="K26" s="77">
        <f t="shared" si="7"/>
        <v>0</v>
      </c>
      <c r="L26" s="77">
        <f t="shared" si="7"/>
        <v>0</v>
      </c>
      <c r="M26" s="77">
        <f t="shared" si="7"/>
        <v>0</v>
      </c>
      <c r="N26" s="77">
        <f t="shared" si="7"/>
        <v>0</v>
      </c>
      <c r="O26" s="77">
        <f t="shared" si="7"/>
        <v>0</v>
      </c>
      <c r="P26" s="77">
        <f t="shared" si="7"/>
        <v>0</v>
      </c>
      <c r="Q26" s="81">
        <f>SUM(E26:P27)</f>
        <v>8289777.399999999</v>
      </c>
      <c r="R26" s="82">
        <f>+Q26/C26</f>
        <v>0.19137325308060918</v>
      </c>
      <c r="S26" s="81">
        <f>SUM(S29:S32)</f>
        <v>21046850.04</v>
      </c>
      <c r="T26" s="82">
        <f t="shared" si="1"/>
        <v>0.4858760332038047</v>
      </c>
      <c r="U26" s="81">
        <f>+C26+D26-Q26</f>
        <v>35027547.6</v>
      </c>
      <c r="V26" s="79">
        <f t="shared" si="2"/>
        <v>0.8086267469193908</v>
      </c>
      <c r="W26" s="3"/>
      <c r="X26" s="3"/>
      <c r="Y26" s="3"/>
      <c r="Z26" s="3"/>
      <c r="AA26" s="3"/>
      <c r="AB26" s="3"/>
      <c r="AC26" s="3"/>
    </row>
    <row r="27" spans="1:29" s="7" customFormat="1" ht="17.25" customHeight="1" hidden="1">
      <c r="A27" s="26" t="s">
        <v>26</v>
      </c>
      <c r="B27" s="6" t="s">
        <v>27</v>
      </c>
      <c r="C27" s="5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9"/>
      <c r="R27" s="59"/>
      <c r="S27" s="60"/>
      <c r="T27" s="60"/>
      <c r="U27" s="59"/>
      <c r="V27" s="59"/>
      <c r="W27" s="3"/>
      <c r="X27" s="3"/>
      <c r="Y27" s="3"/>
      <c r="Z27" s="3"/>
      <c r="AA27" s="3"/>
      <c r="AB27" s="3"/>
      <c r="AC27" s="3"/>
    </row>
    <row r="28" spans="1:29" s="7" customFormat="1" ht="17.25" customHeight="1">
      <c r="A28" s="136" t="s">
        <v>100</v>
      </c>
      <c r="B28" s="27" t="s">
        <v>28</v>
      </c>
      <c r="C28" s="47">
        <v>17040000</v>
      </c>
      <c r="D28" s="48"/>
      <c r="E28" s="48">
        <v>1512848.13</v>
      </c>
      <c r="F28" s="47">
        <v>1546454.31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147">
        <f aca="true" t="shared" si="8" ref="Q28:Q47">SUM(E28:P28)</f>
        <v>3059302.44</v>
      </c>
      <c r="R28" s="148">
        <f aca="true" t="shared" si="9" ref="R28:R33">+Q28/C28</f>
        <v>0.17953652816901408</v>
      </c>
      <c r="S28" s="147">
        <f aca="true" t="shared" si="10" ref="S28:S54">+C28-Q28</f>
        <v>13980697.56</v>
      </c>
      <c r="T28" s="148">
        <f aca="true" t="shared" si="11" ref="T28:T54">+S28/C28</f>
        <v>0.8204634718309859</v>
      </c>
      <c r="U28" s="147">
        <f>+C28-Q28</f>
        <v>13980697.56</v>
      </c>
      <c r="V28" s="148">
        <f>+U28/C28</f>
        <v>0.8204634718309859</v>
      </c>
      <c r="W28" s="3"/>
      <c r="X28" s="3"/>
      <c r="Y28" s="3"/>
      <c r="Z28" s="3"/>
      <c r="AA28" s="3"/>
      <c r="AB28" s="3"/>
      <c r="AC28" s="3"/>
    </row>
    <row r="29" spans="1:29" s="7" customFormat="1" ht="15">
      <c r="A29" s="136" t="s">
        <v>101</v>
      </c>
      <c r="B29" s="27" t="s">
        <v>29</v>
      </c>
      <c r="C29" s="47">
        <v>7050000</v>
      </c>
      <c r="D29" s="48"/>
      <c r="E29" s="48">
        <v>606599.71</v>
      </c>
      <c r="F29" s="47">
        <v>593759.17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147">
        <f t="shared" si="8"/>
        <v>1200358.88</v>
      </c>
      <c r="R29" s="148">
        <f t="shared" si="9"/>
        <v>0.1702636709219858</v>
      </c>
      <c r="S29" s="147">
        <f t="shared" si="10"/>
        <v>5849641.12</v>
      </c>
      <c r="T29" s="148">
        <f t="shared" si="11"/>
        <v>0.8297363290780142</v>
      </c>
      <c r="U29" s="147">
        <f>+C29-Q29</f>
        <v>5849641.12</v>
      </c>
      <c r="V29" s="148">
        <f>+U29/C29</f>
        <v>0.8297363290780142</v>
      </c>
      <c r="W29" s="3"/>
      <c r="X29" s="3"/>
      <c r="Y29" s="3"/>
      <c r="Z29" s="3"/>
      <c r="AA29" s="3"/>
      <c r="AB29" s="3"/>
      <c r="AC29" s="3"/>
    </row>
    <row r="30" spans="1:29" s="7" customFormat="1" ht="15">
      <c r="A30" s="136" t="s">
        <v>274</v>
      </c>
      <c r="B30" s="27" t="s">
        <v>272</v>
      </c>
      <c r="C30" s="47">
        <v>18950125</v>
      </c>
      <c r="D30" s="48"/>
      <c r="E30" s="48">
        <v>2075866.94</v>
      </c>
      <c r="F30" s="47">
        <v>1914413.14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147">
        <f t="shared" si="8"/>
        <v>3990280.08</v>
      </c>
      <c r="R30" s="148">
        <f t="shared" si="9"/>
        <v>0.21056748068944137</v>
      </c>
      <c r="S30" s="147">
        <f t="shared" si="10"/>
        <v>14959844.92</v>
      </c>
      <c r="T30" s="148">
        <f t="shared" si="11"/>
        <v>0.7894325193105586</v>
      </c>
      <c r="U30" s="147">
        <f>+C30-Q30</f>
        <v>14959844.92</v>
      </c>
      <c r="V30" s="148">
        <f>+U30/C30</f>
        <v>0.7894325193105586</v>
      </c>
      <c r="W30" s="3"/>
      <c r="X30" s="3"/>
      <c r="Y30" s="3"/>
      <c r="Z30" s="3"/>
      <c r="AA30" s="3"/>
      <c r="AB30" s="3"/>
      <c r="AC30" s="3"/>
    </row>
    <row r="31" spans="1:29" s="7" customFormat="1" ht="15">
      <c r="A31" s="136" t="s">
        <v>102</v>
      </c>
      <c r="B31" s="27" t="s">
        <v>30</v>
      </c>
      <c r="C31" s="47">
        <v>258000</v>
      </c>
      <c r="D31" s="48"/>
      <c r="E31" s="48">
        <v>11624</v>
      </c>
      <c r="F31" s="47">
        <v>25036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147">
        <f t="shared" si="8"/>
        <v>36660</v>
      </c>
      <c r="R31" s="148">
        <f t="shared" si="9"/>
        <v>0.14209302325581397</v>
      </c>
      <c r="S31" s="147">
        <f t="shared" si="10"/>
        <v>221340</v>
      </c>
      <c r="T31" s="148">
        <f t="shared" si="11"/>
        <v>0.857906976744186</v>
      </c>
      <c r="U31" s="147">
        <f>+C31-Q31</f>
        <v>221340</v>
      </c>
      <c r="V31" s="148">
        <f aca="true" t="shared" si="12" ref="V31:V39">+U31/C31</f>
        <v>0.857906976744186</v>
      </c>
      <c r="W31" s="3"/>
      <c r="X31" s="3"/>
      <c r="Y31" s="3"/>
      <c r="Z31" s="3"/>
      <c r="AA31" s="3"/>
      <c r="AB31" s="3"/>
      <c r="AC31" s="3"/>
    </row>
    <row r="32" spans="1:29" s="7" customFormat="1" ht="15">
      <c r="A32" s="136" t="s">
        <v>103</v>
      </c>
      <c r="B32" s="27" t="s">
        <v>31</v>
      </c>
      <c r="C32" s="47">
        <v>19200</v>
      </c>
      <c r="D32" s="48"/>
      <c r="E32" s="48">
        <v>1500</v>
      </c>
      <c r="F32" s="47">
        <v>1676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147">
        <f t="shared" si="8"/>
        <v>3176</v>
      </c>
      <c r="R32" s="148">
        <f t="shared" si="9"/>
        <v>0.16541666666666666</v>
      </c>
      <c r="S32" s="147">
        <f t="shared" si="10"/>
        <v>16024</v>
      </c>
      <c r="T32" s="148">
        <f t="shared" si="11"/>
        <v>0.8345833333333333</v>
      </c>
      <c r="U32" s="147">
        <f>+C32-Q32</f>
        <v>16024</v>
      </c>
      <c r="V32" s="148">
        <f t="shared" si="12"/>
        <v>0.8345833333333333</v>
      </c>
      <c r="W32" s="3"/>
      <c r="X32" s="3"/>
      <c r="Y32" s="3"/>
      <c r="Z32" s="3"/>
      <c r="AA32" s="3"/>
      <c r="AB32" s="3"/>
      <c r="AC32" s="3"/>
    </row>
    <row r="33" spans="1:29" s="7" customFormat="1" ht="15">
      <c r="A33" s="23" t="s">
        <v>32</v>
      </c>
      <c r="B33" s="8" t="s">
        <v>33</v>
      </c>
      <c r="C33" s="77">
        <f>SUM(C34:C34)</f>
        <v>558000</v>
      </c>
      <c r="D33" s="77"/>
      <c r="E33" s="77">
        <f aca="true" t="shared" si="13" ref="E33:P33">SUM(E34:E34)</f>
        <v>0</v>
      </c>
      <c r="F33" s="77">
        <f t="shared" si="13"/>
        <v>0</v>
      </c>
      <c r="G33" s="77">
        <f t="shared" si="13"/>
        <v>0</v>
      </c>
      <c r="H33" s="77">
        <f t="shared" si="13"/>
        <v>0</v>
      </c>
      <c r="I33" s="77">
        <f t="shared" si="13"/>
        <v>0</v>
      </c>
      <c r="J33" s="77">
        <f t="shared" si="13"/>
        <v>0</v>
      </c>
      <c r="K33" s="77">
        <f t="shared" si="13"/>
        <v>0</v>
      </c>
      <c r="L33" s="77">
        <f t="shared" si="13"/>
        <v>0</v>
      </c>
      <c r="M33" s="77">
        <f t="shared" si="13"/>
        <v>0</v>
      </c>
      <c r="N33" s="77">
        <f t="shared" si="13"/>
        <v>0</v>
      </c>
      <c r="O33" s="77">
        <f t="shared" si="13"/>
        <v>0</v>
      </c>
      <c r="P33" s="77">
        <f t="shared" si="13"/>
        <v>0</v>
      </c>
      <c r="Q33" s="81">
        <f aca="true" t="shared" si="14" ref="Q33:Q38">SUM(E33:P33)</f>
        <v>0</v>
      </c>
      <c r="R33" s="82">
        <f t="shared" si="9"/>
        <v>0</v>
      </c>
      <c r="S33" s="81">
        <f t="shared" si="10"/>
        <v>558000</v>
      </c>
      <c r="T33" s="82">
        <f t="shared" si="11"/>
        <v>1</v>
      </c>
      <c r="U33" s="81">
        <f>+C33+D33-Q33</f>
        <v>558000</v>
      </c>
      <c r="V33" s="79">
        <f>+U33/C33</f>
        <v>1</v>
      </c>
      <c r="W33" s="3"/>
      <c r="X33" s="3"/>
      <c r="Y33" s="3"/>
      <c r="Z33" s="3"/>
      <c r="AA33" s="3"/>
      <c r="AB33" s="3"/>
      <c r="AC33" s="3"/>
    </row>
    <row r="34" spans="1:29" s="7" customFormat="1" ht="15">
      <c r="A34" s="136" t="s">
        <v>104</v>
      </c>
      <c r="B34" s="27" t="s">
        <v>34</v>
      </c>
      <c r="C34" s="47">
        <v>558000</v>
      </c>
      <c r="D34" s="48"/>
      <c r="E34" s="48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147">
        <f t="shared" si="8"/>
        <v>0</v>
      </c>
      <c r="R34" s="148">
        <f>+Q34/(D34+C34)</f>
        <v>0</v>
      </c>
      <c r="S34" s="147">
        <f t="shared" si="10"/>
        <v>558000</v>
      </c>
      <c r="T34" s="148">
        <f t="shared" si="11"/>
        <v>1</v>
      </c>
      <c r="U34" s="147">
        <f>+C34+D34-Q34</f>
        <v>558000</v>
      </c>
      <c r="V34" s="148">
        <f t="shared" si="12"/>
        <v>1</v>
      </c>
      <c r="W34" s="3"/>
      <c r="X34" s="3"/>
      <c r="Y34" s="3"/>
      <c r="Z34" s="3"/>
      <c r="AA34" s="3"/>
      <c r="AB34" s="3"/>
      <c r="AC34" s="3"/>
    </row>
    <row r="35" spans="1:29" s="7" customFormat="1" ht="15">
      <c r="A35" s="23" t="s">
        <v>35</v>
      </c>
      <c r="B35" s="8" t="s">
        <v>36</v>
      </c>
      <c r="C35" s="77">
        <f>SUM(C36:C37)</f>
        <v>5515200</v>
      </c>
      <c r="D35" s="77"/>
      <c r="E35" s="77">
        <f aca="true" t="shared" si="15" ref="E35:P35">SUM(E36:E37)</f>
        <v>669020</v>
      </c>
      <c r="F35" s="77">
        <f t="shared" si="15"/>
        <v>535700</v>
      </c>
      <c r="G35" s="77">
        <f t="shared" si="15"/>
        <v>0</v>
      </c>
      <c r="H35" s="77">
        <f t="shared" si="15"/>
        <v>0</v>
      </c>
      <c r="I35" s="77">
        <f t="shared" si="15"/>
        <v>0</v>
      </c>
      <c r="J35" s="77">
        <f t="shared" si="15"/>
        <v>0</v>
      </c>
      <c r="K35" s="77">
        <f t="shared" si="15"/>
        <v>0</v>
      </c>
      <c r="L35" s="77">
        <f t="shared" si="15"/>
        <v>0</v>
      </c>
      <c r="M35" s="77">
        <f t="shared" si="15"/>
        <v>0</v>
      </c>
      <c r="N35" s="77">
        <f t="shared" si="15"/>
        <v>0</v>
      </c>
      <c r="O35" s="77">
        <f t="shared" si="15"/>
        <v>0</v>
      </c>
      <c r="P35" s="77">
        <f t="shared" si="15"/>
        <v>0</v>
      </c>
      <c r="Q35" s="81">
        <f t="shared" si="14"/>
        <v>1204720</v>
      </c>
      <c r="R35" s="82">
        <f aca="true" t="shared" si="16" ref="R35:R41">+Q35/C35</f>
        <v>0.2184363214389324</v>
      </c>
      <c r="S35" s="81">
        <f t="shared" si="10"/>
        <v>4310480</v>
      </c>
      <c r="T35" s="82">
        <f t="shared" si="11"/>
        <v>0.7815636785610676</v>
      </c>
      <c r="U35" s="81">
        <f>+C35+D35-Q35</f>
        <v>4310480</v>
      </c>
      <c r="V35" s="82">
        <f t="shared" si="12"/>
        <v>0.7815636785610676</v>
      </c>
      <c r="W35" s="3"/>
      <c r="X35" s="3"/>
      <c r="Y35" s="3"/>
      <c r="Z35" s="3"/>
      <c r="AA35" s="3"/>
      <c r="AB35" s="3"/>
      <c r="AC35" s="3"/>
    </row>
    <row r="36" spans="1:29" s="7" customFormat="1" ht="15">
      <c r="A36" s="136" t="s">
        <v>105</v>
      </c>
      <c r="B36" s="27" t="s">
        <v>37</v>
      </c>
      <c r="C36" s="47">
        <v>4866000</v>
      </c>
      <c r="D36" s="48"/>
      <c r="E36" s="48">
        <v>669020</v>
      </c>
      <c r="F36" s="47">
        <v>535700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147">
        <f t="shared" si="8"/>
        <v>1204720</v>
      </c>
      <c r="R36" s="148">
        <f t="shared" si="16"/>
        <v>0.2475791204274558</v>
      </c>
      <c r="S36" s="147">
        <f t="shared" si="10"/>
        <v>3661280</v>
      </c>
      <c r="T36" s="148">
        <f t="shared" si="11"/>
        <v>0.7524208795725442</v>
      </c>
      <c r="U36" s="147">
        <f>+C36-Q36</f>
        <v>3661280</v>
      </c>
      <c r="V36" s="148">
        <f t="shared" si="12"/>
        <v>0.7524208795725442</v>
      </c>
      <c r="W36" s="3"/>
      <c r="X36" s="3"/>
      <c r="Y36" s="3"/>
      <c r="Z36" s="3"/>
      <c r="AA36" s="3"/>
      <c r="AB36" s="3"/>
      <c r="AC36" s="3"/>
    </row>
    <row r="37" spans="1:29" s="7" customFormat="1" ht="15">
      <c r="A37" s="136" t="s">
        <v>106</v>
      </c>
      <c r="B37" s="27" t="s">
        <v>38</v>
      </c>
      <c r="C37" s="47">
        <v>649200</v>
      </c>
      <c r="D37" s="48"/>
      <c r="E37" s="48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147">
        <f t="shared" si="8"/>
        <v>0</v>
      </c>
      <c r="R37" s="148">
        <f t="shared" si="16"/>
        <v>0</v>
      </c>
      <c r="S37" s="147">
        <f t="shared" si="10"/>
        <v>649200</v>
      </c>
      <c r="T37" s="148">
        <f t="shared" si="11"/>
        <v>1</v>
      </c>
      <c r="U37" s="147">
        <f>+C37-Q37</f>
        <v>649200</v>
      </c>
      <c r="V37" s="148">
        <f t="shared" si="12"/>
        <v>1</v>
      </c>
      <c r="W37" s="3"/>
      <c r="X37" s="3"/>
      <c r="Y37" s="3"/>
      <c r="Z37" s="3"/>
      <c r="AA37" s="3"/>
      <c r="AB37" s="3"/>
      <c r="AC37" s="3"/>
    </row>
    <row r="38" spans="1:29" s="7" customFormat="1" ht="15">
      <c r="A38" s="23" t="s">
        <v>39</v>
      </c>
      <c r="B38" s="8" t="s">
        <v>40</v>
      </c>
      <c r="C38" s="77">
        <f>+C39</f>
        <v>556000</v>
      </c>
      <c r="D38" s="77"/>
      <c r="E38" s="77">
        <f>+E39</f>
        <v>50000</v>
      </c>
      <c r="F38" s="77">
        <f>+F39</f>
        <v>50000</v>
      </c>
      <c r="G38" s="77">
        <f aca="true" t="shared" si="17" ref="G38:P38">+G39</f>
        <v>0</v>
      </c>
      <c r="H38" s="77">
        <f t="shared" si="17"/>
        <v>0</v>
      </c>
      <c r="I38" s="77">
        <f t="shared" si="17"/>
        <v>0</v>
      </c>
      <c r="J38" s="77">
        <f t="shared" si="17"/>
        <v>0</v>
      </c>
      <c r="K38" s="77">
        <f t="shared" si="17"/>
        <v>0</v>
      </c>
      <c r="L38" s="77">
        <f t="shared" si="17"/>
        <v>0</v>
      </c>
      <c r="M38" s="77">
        <f t="shared" si="17"/>
        <v>0</v>
      </c>
      <c r="N38" s="77">
        <f t="shared" si="17"/>
        <v>0</v>
      </c>
      <c r="O38" s="77">
        <f t="shared" si="17"/>
        <v>0</v>
      </c>
      <c r="P38" s="77">
        <f t="shared" si="17"/>
        <v>0</v>
      </c>
      <c r="Q38" s="81">
        <f t="shared" si="14"/>
        <v>100000</v>
      </c>
      <c r="R38" s="82">
        <f>+Q38/C38</f>
        <v>0.17985611510791366</v>
      </c>
      <c r="S38" s="81">
        <f>+C38-Q38</f>
        <v>456000</v>
      </c>
      <c r="T38" s="82">
        <f>+S38/C38</f>
        <v>0.8201438848920863</v>
      </c>
      <c r="U38" s="81">
        <f>+C38+D38-Q38</f>
        <v>456000</v>
      </c>
      <c r="V38" s="79">
        <f>+U38/C38</f>
        <v>0.8201438848920863</v>
      </c>
      <c r="W38" s="3"/>
      <c r="X38" s="3"/>
      <c r="Y38" s="3"/>
      <c r="Z38" s="3"/>
      <c r="AA38" s="3"/>
      <c r="AB38" s="3"/>
      <c r="AC38" s="3"/>
    </row>
    <row r="39" spans="1:29" s="7" customFormat="1" ht="15">
      <c r="A39" s="136" t="s">
        <v>107</v>
      </c>
      <c r="B39" s="27" t="s">
        <v>173</v>
      </c>
      <c r="C39" s="47">
        <f>576000-20000</f>
        <v>556000</v>
      </c>
      <c r="D39" s="48"/>
      <c r="E39" s="48">
        <v>50000</v>
      </c>
      <c r="F39" s="47">
        <v>50000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147">
        <f t="shared" si="8"/>
        <v>100000</v>
      </c>
      <c r="R39" s="148">
        <f t="shared" si="16"/>
        <v>0.17985611510791366</v>
      </c>
      <c r="S39" s="147">
        <f t="shared" si="10"/>
        <v>456000</v>
      </c>
      <c r="T39" s="148">
        <f t="shared" si="11"/>
        <v>0.8201438848920863</v>
      </c>
      <c r="U39" s="147">
        <f>+C39-Q39</f>
        <v>456000</v>
      </c>
      <c r="V39" s="148">
        <f t="shared" si="12"/>
        <v>0.8201438848920863</v>
      </c>
      <c r="W39" s="3"/>
      <c r="X39" s="3"/>
      <c r="Y39" s="3"/>
      <c r="Z39" s="3"/>
      <c r="AA39" s="3"/>
      <c r="AB39" s="3"/>
      <c r="AC39" s="3"/>
    </row>
    <row r="40" spans="1:29" s="7" customFormat="1" ht="15">
      <c r="A40" s="23" t="s">
        <v>41</v>
      </c>
      <c r="B40" s="8" t="s">
        <v>42</v>
      </c>
      <c r="C40" s="77">
        <f>+C41+C42</f>
        <v>11040000</v>
      </c>
      <c r="D40" s="77"/>
      <c r="E40" s="77">
        <f aca="true" t="shared" si="18" ref="E40:P40">+E41+E42</f>
        <v>765777.17</v>
      </c>
      <c r="F40" s="77">
        <f t="shared" si="18"/>
        <v>981797.16</v>
      </c>
      <c r="G40" s="77">
        <f t="shared" si="18"/>
        <v>0</v>
      </c>
      <c r="H40" s="77">
        <f t="shared" si="18"/>
        <v>0</v>
      </c>
      <c r="I40" s="77">
        <f t="shared" si="18"/>
        <v>0</v>
      </c>
      <c r="J40" s="77">
        <f t="shared" si="18"/>
        <v>0</v>
      </c>
      <c r="K40" s="77">
        <f t="shared" si="18"/>
        <v>0</v>
      </c>
      <c r="L40" s="77">
        <f t="shared" si="18"/>
        <v>0</v>
      </c>
      <c r="M40" s="77">
        <f t="shared" si="18"/>
        <v>0</v>
      </c>
      <c r="N40" s="77">
        <f t="shared" si="18"/>
        <v>0</v>
      </c>
      <c r="O40" s="77">
        <f t="shared" si="18"/>
        <v>0</v>
      </c>
      <c r="P40" s="77">
        <f t="shared" si="18"/>
        <v>0</v>
      </c>
      <c r="Q40" s="81">
        <f>SUM(E40:P40)</f>
        <v>1747574.33</v>
      </c>
      <c r="R40" s="82">
        <f t="shared" si="16"/>
        <v>0.15829477626811594</v>
      </c>
      <c r="S40" s="81">
        <f t="shared" si="10"/>
        <v>9292425.67</v>
      </c>
      <c r="T40" s="82">
        <f t="shared" si="11"/>
        <v>0.8417052237318841</v>
      </c>
      <c r="U40" s="81">
        <f>+C40+D40-Q40</f>
        <v>9292425.67</v>
      </c>
      <c r="V40" s="79">
        <f>+U40/C40</f>
        <v>0.8417052237318841</v>
      </c>
      <c r="W40" s="3"/>
      <c r="X40" s="3"/>
      <c r="Y40" s="3"/>
      <c r="Z40" s="3"/>
      <c r="AA40" s="3"/>
      <c r="AB40" s="3"/>
      <c r="AC40" s="3"/>
    </row>
    <row r="41" spans="1:29" s="7" customFormat="1" ht="15">
      <c r="A41" s="136" t="s">
        <v>108</v>
      </c>
      <c r="B41" s="27" t="s">
        <v>43</v>
      </c>
      <c r="C41" s="47">
        <v>10440000</v>
      </c>
      <c r="D41" s="48"/>
      <c r="E41" s="48">
        <v>765777.17</v>
      </c>
      <c r="F41" s="47">
        <v>981797.16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147">
        <f t="shared" si="8"/>
        <v>1747574.33</v>
      </c>
      <c r="R41" s="148">
        <f t="shared" si="16"/>
        <v>0.16739217720306515</v>
      </c>
      <c r="S41" s="147">
        <f t="shared" si="10"/>
        <v>8692425.67</v>
      </c>
      <c r="T41" s="148">
        <f t="shared" si="11"/>
        <v>0.8326078227969349</v>
      </c>
      <c r="U41" s="147">
        <f>+C41-Q41</f>
        <v>8692425.67</v>
      </c>
      <c r="V41" s="148">
        <f>+U41/C41</f>
        <v>0.8326078227969349</v>
      </c>
      <c r="W41" s="3"/>
      <c r="X41" s="3"/>
      <c r="Y41" s="3"/>
      <c r="Z41" s="3"/>
      <c r="AA41" s="3"/>
      <c r="AB41" s="3"/>
      <c r="AC41" s="3"/>
    </row>
    <row r="42" spans="1:29" s="7" customFormat="1" ht="15">
      <c r="A42" s="136" t="s">
        <v>109</v>
      </c>
      <c r="B42" s="27" t="s">
        <v>275</v>
      </c>
      <c r="C42" s="47">
        <v>600000</v>
      </c>
      <c r="D42" s="48"/>
      <c r="E42" s="48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147">
        <f t="shared" si="8"/>
        <v>0</v>
      </c>
      <c r="R42" s="148">
        <v>0</v>
      </c>
      <c r="S42" s="147">
        <f t="shared" si="10"/>
        <v>600000</v>
      </c>
      <c r="T42" s="148">
        <f t="shared" si="11"/>
        <v>1</v>
      </c>
      <c r="U42" s="147">
        <f>+C42-Q42</f>
        <v>600000</v>
      </c>
      <c r="V42" s="148">
        <v>0</v>
      </c>
      <c r="W42" s="3"/>
      <c r="X42" s="3"/>
      <c r="Y42" s="3"/>
      <c r="Z42" s="3"/>
      <c r="AA42" s="3"/>
      <c r="AB42" s="3"/>
      <c r="AC42" s="3"/>
    </row>
    <row r="43" spans="1:29" s="7" customFormat="1" ht="15">
      <c r="A43" s="23" t="s">
        <v>44</v>
      </c>
      <c r="B43" s="8" t="s">
        <v>45</v>
      </c>
      <c r="C43" s="77">
        <f>+C44</f>
        <v>5520000</v>
      </c>
      <c r="D43" s="77"/>
      <c r="E43" s="77">
        <f aca="true" t="shared" si="19" ref="E43:P43">+E44</f>
        <v>1049479.49</v>
      </c>
      <c r="F43" s="77">
        <f t="shared" si="19"/>
        <v>63938.66</v>
      </c>
      <c r="G43" s="77">
        <f t="shared" si="19"/>
        <v>0</v>
      </c>
      <c r="H43" s="77">
        <f t="shared" si="19"/>
        <v>0</v>
      </c>
      <c r="I43" s="77">
        <f t="shared" si="19"/>
        <v>0</v>
      </c>
      <c r="J43" s="77">
        <f t="shared" si="19"/>
        <v>0</v>
      </c>
      <c r="K43" s="77">
        <f t="shared" si="19"/>
        <v>0</v>
      </c>
      <c r="L43" s="77">
        <f t="shared" si="19"/>
        <v>0</v>
      </c>
      <c r="M43" s="77">
        <f t="shared" si="19"/>
        <v>0</v>
      </c>
      <c r="N43" s="77">
        <f t="shared" si="19"/>
        <v>0</v>
      </c>
      <c r="O43" s="77">
        <f t="shared" si="19"/>
        <v>0</v>
      </c>
      <c r="P43" s="77">
        <f t="shared" si="19"/>
        <v>0</v>
      </c>
      <c r="Q43" s="81">
        <f>SUM(E43:P43)</f>
        <v>1113418.15</v>
      </c>
      <c r="R43" s="82">
        <f aca="true" t="shared" si="20" ref="R43:R54">+Q43/C43</f>
        <v>0.2017061865942029</v>
      </c>
      <c r="S43" s="81">
        <f t="shared" si="10"/>
        <v>4406581.85</v>
      </c>
      <c r="T43" s="82">
        <f t="shared" si="11"/>
        <v>0.7982938134057971</v>
      </c>
      <c r="U43" s="81">
        <f>+C43+D43-Q43</f>
        <v>4406581.85</v>
      </c>
      <c r="V43" s="79">
        <f aca="true" t="shared" si="21" ref="V43:V54">+U43/C43</f>
        <v>0.7982938134057971</v>
      </c>
      <c r="W43" s="133"/>
      <c r="X43" s="3"/>
      <c r="Y43" s="3"/>
      <c r="Z43" s="3"/>
      <c r="AA43" s="3"/>
      <c r="AB43" s="3"/>
      <c r="AC43" s="3"/>
    </row>
    <row r="44" spans="1:29" s="7" customFormat="1" ht="15">
      <c r="A44" s="136" t="s">
        <v>110</v>
      </c>
      <c r="B44" s="27" t="s">
        <v>46</v>
      </c>
      <c r="C44" s="47">
        <v>5520000</v>
      </c>
      <c r="D44" s="50"/>
      <c r="E44" s="50">
        <v>1049479.49</v>
      </c>
      <c r="F44" s="51">
        <v>63938.66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147">
        <f t="shared" si="8"/>
        <v>1113418.15</v>
      </c>
      <c r="R44" s="148">
        <f t="shared" si="20"/>
        <v>0.2017061865942029</v>
      </c>
      <c r="S44" s="147">
        <f t="shared" si="10"/>
        <v>4406581.85</v>
      </c>
      <c r="T44" s="148">
        <f t="shared" si="11"/>
        <v>0.7982938134057971</v>
      </c>
      <c r="U44" s="147">
        <f>+C44-Q44</f>
        <v>4406581.85</v>
      </c>
      <c r="V44" s="148">
        <f t="shared" si="21"/>
        <v>0.7982938134057971</v>
      </c>
      <c r="W44" s="3"/>
      <c r="X44" s="3"/>
      <c r="Y44" s="3"/>
      <c r="Z44" s="3"/>
      <c r="AA44" s="3"/>
      <c r="AB44" s="3"/>
      <c r="AC44" s="3"/>
    </row>
    <row r="45" spans="1:29" s="7" customFormat="1" ht="30">
      <c r="A45" s="141" t="s">
        <v>47</v>
      </c>
      <c r="B45" s="45" t="s">
        <v>289</v>
      </c>
      <c r="C45" s="77">
        <f>+C46+C47</f>
        <v>40000</v>
      </c>
      <c r="D45" s="77"/>
      <c r="E45" s="77">
        <f>+E47</f>
        <v>6695</v>
      </c>
      <c r="F45" s="77">
        <f>+F46+F47</f>
        <v>936</v>
      </c>
      <c r="G45" s="77">
        <f aca="true" t="shared" si="22" ref="G45:P45">+G47</f>
        <v>0</v>
      </c>
      <c r="H45" s="77">
        <f t="shared" si="22"/>
        <v>0</v>
      </c>
      <c r="I45" s="77">
        <f t="shared" si="22"/>
        <v>0</v>
      </c>
      <c r="J45" s="77">
        <f t="shared" si="22"/>
        <v>0</v>
      </c>
      <c r="K45" s="77">
        <f t="shared" si="22"/>
        <v>0</v>
      </c>
      <c r="L45" s="77">
        <f t="shared" si="22"/>
        <v>0</v>
      </c>
      <c r="M45" s="77">
        <f t="shared" si="22"/>
        <v>0</v>
      </c>
      <c r="N45" s="77">
        <f t="shared" si="22"/>
        <v>0</v>
      </c>
      <c r="O45" s="77">
        <f t="shared" si="22"/>
        <v>0</v>
      </c>
      <c r="P45" s="77">
        <f t="shared" si="22"/>
        <v>0</v>
      </c>
      <c r="Q45" s="81">
        <f>SUM(E45:O45)</f>
        <v>7631</v>
      </c>
      <c r="R45" s="82">
        <f t="shared" si="20"/>
        <v>0.190775</v>
      </c>
      <c r="S45" s="81">
        <f t="shared" si="10"/>
        <v>32369</v>
      </c>
      <c r="T45" s="82">
        <f t="shared" si="11"/>
        <v>0.809225</v>
      </c>
      <c r="U45" s="81">
        <f>+C45+D45-Q45</f>
        <v>32369</v>
      </c>
      <c r="V45" s="79">
        <f t="shared" si="21"/>
        <v>0.809225</v>
      </c>
      <c r="W45" s="3"/>
      <c r="X45" s="3"/>
      <c r="Y45" s="3"/>
      <c r="Z45" s="3"/>
      <c r="AA45" s="3"/>
      <c r="AB45" s="3"/>
      <c r="AC45" s="3"/>
    </row>
    <row r="46" spans="1:29" s="7" customFormat="1" ht="30">
      <c r="A46" s="153" t="s">
        <v>301</v>
      </c>
      <c r="B46" s="36" t="s">
        <v>302</v>
      </c>
      <c r="C46" s="47">
        <v>20000</v>
      </c>
      <c r="D46" s="48"/>
      <c r="E46" s="48">
        <v>0</v>
      </c>
      <c r="F46" s="48">
        <v>236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147">
        <f>SUM(E46:P46)</f>
        <v>236</v>
      </c>
      <c r="R46" s="148">
        <f>+Q46/C46</f>
        <v>0.0118</v>
      </c>
      <c r="S46" s="147">
        <f>+C46-Q46</f>
        <v>19764</v>
      </c>
      <c r="T46" s="148">
        <f>+S46/C46</f>
        <v>0.9882</v>
      </c>
      <c r="U46" s="147">
        <f>+C46-Q46</f>
        <v>19764</v>
      </c>
      <c r="V46" s="148">
        <f>+U46/C46</f>
        <v>0.9882</v>
      </c>
      <c r="W46" s="3"/>
      <c r="X46" s="3"/>
      <c r="Y46" s="3"/>
      <c r="Z46" s="3"/>
      <c r="AA46" s="3"/>
      <c r="AB46" s="3"/>
      <c r="AC46" s="3"/>
    </row>
    <row r="47" spans="1:29" s="11" customFormat="1" ht="30">
      <c r="A47" s="128" t="s">
        <v>111</v>
      </c>
      <c r="B47" s="36" t="s">
        <v>288</v>
      </c>
      <c r="C47" s="47">
        <v>20000</v>
      </c>
      <c r="D47" s="48"/>
      <c r="E47" s="48">
        <v>6695</v>
      </c>
      <c r="F47" s="48">
        <v>700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147">
        <f t="shared" si="8"/>
        <v>7395</v>
      </c>
      <c r="R47" s="148">
        <f t="shared" si="20"/>
        <v>0.36975</v>
      </c>
      <c r="S47" s="147">
        <f t="shared" si="10"/>
        <v>12605</v>
      </c>
      <c r="T47" s="148">
        <f t="shared" si="11"/>
        <v>0.63025</v>
      </c>
      <c r="U47" s="147">
        <f aca="true" t="shared" si="23" ref="U47:U53">+C47-Q47</f>
        <v>12605</v>
      </c>
      <c r="V47" s="148">
        <f t="shared" si="21"/>
        <v>0.63025</v>
      </c>
      <c r="W47" s="10"/>
      <c r="X47" s="10"/>
      <c r="Y47" s="10"/>
      <c r="Z47" s="10"/>
      <c r="AA47" s="10"/>
      <c r="AB47" s="10"/>
      <c r="AC47" s="10"/>
    </row>
    <row r="48" spans="1:29" s="7" customFormat="1" ht="17.25" customHeight="1" hidden="1">
      <c r="A48" s="43"/>
      <c r="B48" s="29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53">
        <f aca="true" t="shared" si="24" ref="Q48:Q53">SUM(E48:P48)</f>
        <v>0</v>
      </c>
      <c r="R48" s="54" t="e">
        <f t="shared" si="20"/>
        <v>#DIV/0!</v>
      </c>
      <c r="S48" s="55">
        <f t="shared" si="10"/>
        <v>0</v>
      </c>
      <c r="T48" s="56" t="e">
        <f t="shared" si="11"/>
        <v>#DIV/0!</v>
      </c>
      <c r="U48" s="53">
        <f t="shared" si="23"/>
        <v>0</v>
      </c>
      <c r="V48" s="54" t="e">
        <f t="shared" si="21"/>
        <v>#DIV/0!</v>
      </c>
      <c r="W48" s="3"/>
      <c r="X48" s="3"/>
      <c r="Y48" s="3"/>
      <c r="Z48" s="3"/>
      <c r="AA48" s="3"/>
      <c r="AB48" s="3"/>
      <c r="AC48" s="3"/>
    </row>
    <row r="49" spans="1:29" s="2" customFormat="1" ht="17.25" customHeight="1">
      <c r="A49" s="23" t="s">
        <v>48</v>
      </c>
      <c r="B49" s="8" t="s">
        <v>290</v>
      </c>
      <c r="C49" s="77">
        <f>+C50+C51+C52+C53</f>
        <v>2620000</v>
      </c>
      <c r="D49" s="77"/>
      <c r="E49" s="77">
        <f>+E50+E52+E53</f>
        <v>786993.87</v>
      </c>
      <c r="F49" s="77">
        <f>+F50+F51+F52+F53</f>
        <v>897141.79</v>
      </c>
      <c r="G49" s="77">
        <f aca="true" t="shared" si="25" ref="G49:P49">+G50</f>
        <v>0</v>
      </c>
      <c r="H49" s="77">
        <f t="shared" si="25"/>
        <v>0</v>
      </c>
      <c r="I49" s="77">
        <f t="shared" si="25"/>
        <v>0</v>
      </c>
      <c r="J49" s="77">
        <f t="shared" si="25"/>
        <v>0</v>
      </c>
      <c r="K49" s="77">
        <f t="shared" si="25"/>
        <v>0</v>
      </c>
      <c r="L49" s="77">
        <f t="shared" si="25"/>
        <v>0</v>
      </c>
      <c r="M49" s="77">
        <f t="shared" si="25"/>
        <v>0</v>
      </c>
      <c r="N49" s="77">
        <f t="shared" si="25"/>
        <v>0</v>
      </c>
      <c r="O49" s="77">
        <f t="shared" si="25"/>
        <v>0</v>
      </c>
      <c r="P49" s="77">
        <f t="shared" si="25"/>
        <v>0</v>
      </c>
      <c r="Q49" s="146">
        <f t="shared" si="24"/>
        <v>1684135.6600000001</v>
      </c>
      <c r="R49" s="83">
        <f t="shared" si="20"/>
        <v>0.6427998702290076</v>
      </c>
      <c r="S49" s="146">
        <f>+C49-Q49</f>
        <v>935864.3399999999</v>
      </c>
      <c r="T49" s="83">
        <f>+S49/C49</f>
        <v>0.3572001297709923</v>
      </c>
      <c r="U49" s="81">
        <f>+C49+D49-Q49</f>
        <v>935864.3399999999</v>
      </c>
      <c r="V49" s="79">
        <f t="shared" si="21"/>
        <v>0.3572001297709923</v>
      </c>
      <c r="W49" s="3"/>
      <c r="X49" s="3"/>
      <c r="Y49" s="3"/>
      <c r="Z49" s="3"/>
      <c r="AA49" s="3"/>
      <c r="AB49" s="3"/>
      <c r="AC49" s="3"/>
    </row>
    <row r="50" spans="1:29" s="2" customFormat="1" ht="17.25" customHeight="1">
      <c r="A50" s="142" t="s">
        <v>112</v>
      </c>
      <c r="B50" s="46" t="s">
        <v>291</v>
      </c>
      <c r="C50" s="47">
        <v>400000</v>
      </c>
      <c r="D50" s="48"/>
      <c r="E50" s="48">
        <v>154770.06</v>
      </c>
      <c r="F50" s="48">
        <v>164116.7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147">
        <f t="shared" si="24"/>
        <v>318886.76</v>
      </c>
      <c r="R50" s="148">
        <f t="shared" si="20"/>
        <v>0.7972169</v>
      </c>
      <c r="S50" s="147">
        <f>+C50-Q50</f>
        <v>81113.23999999999</v>
      </c>
      <c r="T50" s="148">
        <f>+S50/C50</f>
        <v>0.20278309999999997</v>
      </c>
      <c r="U50" s="147">
        <f t="shared" si="23"/>
        <v>81113.23999999999</v>
      </c>
      <c r="V50" s="148">
        <f t="shared" si="21"/>
        <v>0.20278309999999997</v>
      </c>
      <c r="W50" s="3"/>
      <c r="X50" s="3"/>
      <c r="Y50" s="3"/>
      <c r="Z50" s="3"/>
      <c r="AA50" s="3"/>
      <c r="AB50" s="3"/>
      <c r="AC50" s="3"/>
    </row>
    <row r="51" spans="1:29" s="2" customFormat="1" ht="33.75" customHeight="1">
      <c r="A51" s="153" t="s">
        <v>303</v>
      </c>
      <c r="B51" s="36" t="s">
        <v>304</v>
      </c>
      <c r="C51" s="47">
        <v>20000</v>
      </c>
      <c r="D51" s="48"/>
      <c r="E51" s="48">
        <v>0</v>
      </c>
      <c r="F51" s="48">
        <v>6000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147">
        <f t="shared" si="24"/>
        <v>6000</v>
      </c>
      <c r="R51" s="148">
        <f t="shared" si="20"/>
        <v>0.3</v>
      </c>
      <c r="S51" s="147">
        <f>+C51-Q51</f>
        <v>14000</v>
      </c>
      <c r="T51" s="148">
        <f>+S51/C51</f>
        <v>0.7</v>
      </c>
      <c r="U51" s="147">
        <f t="shared" si="23"/>
        <v>14000</v>
      </c>
      <c r="V51" s="148">
        <f t="shared" si="21"/>
        <v>0.7</v>
      </c>
      <c r="W51" s="3"/>
      <c r="X51" s="3"/>
      <c r="Y51" s="3"/>
      <c r="Z51" s="3"/>
      <c r="AA51" s="3"/>
      <c r="AB51" s="3"/>
      <c r="AC51" s="3"/>
    </row>
    <row r="52" spans="1:29" s="2" customFormat="1" ht="17.25" customHeight="1">
      <c r="A52" s="142" t="s">
        <v>113</v>
      </c>
      <c r="B52" s="29" t="s">
        <v>292</v>
      </c>
      <c r="C52" s="48">
        <v>200000</v>
      </c>
      <c r="D52" s="48"/>
      <c r="E52" s="48">
        <v>109533.5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147">
        <f t="shared" si="24"/>
        <v>109533.5</v>
      </c>
      <c r="R52" s="148">
        <f t="shared" si="20"/>
        <v>0.5476675</v>
      </c>
      <c r="S52" s="147">
        <f>+C52-Q52</f>
        <v>90466.5</v>
      </c>
      <c r="T52" s="148">
        <f>+S52/C52</f>
        <v>0.4523325</v>
      </c>
      <c r="U52" s="147">
        <f t="shared" si="23"/>
        <v>90466.5</v>
      </c>
      <c r="V52" s="148">
        <f t="shared" si="21"/>
        <v>0.4523325</v>
      </c>
      <c r="W52" s="3"/>
      <c r="X52" s="3"/>
      <c r="Y52" s="3"/>
      <c r="Z52" s="3"/>
      <c r="AA52" s="3"/>
      <c r="AB52" s="3"/>
      <c r="AC52" s="3"/>
    </row>
    <row r="53" spans="1:29" s="2" customFormat="1" ht="17.25" customHeight="1">
      <c r="A53" s="142" t="s">
        <v>132</v>
      </c>
      <c r="B53" s="29" t="s">
        <v>133</v>
      </c>
      <c r="C53" s="48">
        <v>2000000</v>
      </c>
      <c r="D53" s="48"/>
      <c r="E53" s="48">
        <v>522690.31</v>
      </c>
      <c r="F53" s="48">
        <v>727025.09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147">
        <f t="shared" si="24"/>
        <v>1249715.4</v>
      </c>
      <c r="R53" s="148">
        <f>+Q53/C53</f>
        <v>0.6248577</v>
      </c>
      <c r="S53" s="147">
        <f>+C53-Q53</f>
        <v>750284.6000000001</v>
      </c>
      <c r="T53" s="148">
        <f>+S53/C53</f>
        <v>0.37514230000000004</v>
      </c>
      <c r="U53" s="147">
        <f t="shared" si="23"/>
        <v>750284.6000000001</v>
      </c>
      <c r="V53" s="148">
        <f t="shared" si="21"/>
        <v>0.37514230000000004</v>
      </c>
      <c r="W53" s="3"/>
      <c r="X53" s="3"/>
      <c r="Y53" s="3"/>
      <c r="Z53" s="3"/>
      <c r="AA53" s="3"/>
      <c r="AB53" s="3"/>
      <c r="AC53" s="3"/>
    </row>
    <row r="54" spans="1:29" ht="15">
      <c r="A54" s="23" t="s">
        <v>276</v>
      </c>
      <c r="B54" s="8" t="s">
        <v>293</v>
      </c>
      <c r="C54" s="77">
        <f>SUM(C57:C57)</f>
        <v>39600000</v>
      </c>
      <c r="D54" s="77">
        <f>+D56+D57</f>
        <v>10100822.48</v>
      </c>
      <c r="E54" s="77">
        <f>SUM(E57:E57)</f>
        <v>3203385</v>
      </c>
      <c r="F54" s="77">
        <f aca="true" t="shared" si="26" ref="F54:P54">SUM(F57:F57)</f>
        <v>2944508</v>
      </c>
      <c r="G54" s="77">
        <f t="shared" si="26"/>
        <v>0</v>
      </c>
      <c r="H54" s="77">
        <f t="shared" si="26"/>
        <v>0</v>
      </c>
      <c r="I54" s="77">
        <f t="shared" si="26"/>
        <v>0</v>
      </c>
      <c r="J54" s="77">
        <f t="shared" si="26"/>
        <v>0</v>
      </c>
      <c r="K54" s="77">
        <f t="shared" si="26"/>
        <v>0</v>
      </c>
      <c r="L54" s="77">
        <f t="shared" si="26"/>
        <v>0</v>
      </c>
      <c r="M54" s="77">
        <f t="shared" si="26"/>
        <v>0</v>
      </c>
      <c r="N54" s="77">
        <f t="shared" si="26"/>
        <v>0</v>
      </c>
      <c r="O54" s="77">
        <f t="shared" si="26"/>
        <v>0</v>
      </c>
      <c r="P54" s="77">
        <f t="shared" si="26"/>
        <v>0</v>
      </c>
      <c r="Q54" s="81">
        <f>SUM(E54:O55)</f>
        <v>6147893</v>
      </c>
      <c r="R54" s="82">
        <f t="shared" si="20"/>
        <v>0.15524982323232323</v>
      </c>
      <c r="S54" s="81">
        <f t="shared" si="10"/>
        <v>33452107</v>
      </c>
      <c r="T54" s="82">
        <f t="shared" si="11"/>
        <v>0.8447501767676767</v>
      </c>
      <c r="U54" s="81">
        <f>+C54+D54-Q54</f>
        <v>43552929.480000004</v>
      </c>
      <c r="V54" s="79">
        <f t="shared" si="21"/>
        <v>1.0998214515151516</v>
      </c>
      <c r="W54" s="34"/>
      <c r="X54" s="3"/>
      <c r="Y54" s="3"/>
      <c r="Z54" s="3"/>
      <c r="AA54" s="3"/>
      <c r="AB54" s="3"/>
      <c r="AC54" s="3"/>
    </row>
    <row r="55" spans="1:29" ht="17.25" customHeight="1" hidden="1">
      <c r="A55" s="24" t="s">
        <v>49</v>
      </c>
      <c r="B55" s="9" t="s">
        <v>50</v>
      </c>
      <c r="C55" s="48">
        <v>0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61"/>
      <c r="R55" s="61"/>
      <c r="S55" s="59">
        <v>0</v>
      </c>
      <c r="T55" s="59"/>
      <c r="U55" s="61"/>
      <c r="V55" s="61"/>
      <c r="W55" s="3"/>
      <c r="X55" s="3"/>
      <c r="Y55" s="3"/>
      <c r="Z55" s="3"/>
      <c r="AA55" s="3"/>
      <c r="AB55" s="3"/>
      <c r="AC55" s="3"/>
    </row>
    <row r="56" spans="1:29" ht="17.25" customHeight="1">
      <c r="A56" s="157" t="s">
        <v>318</v>
      </c>
      <c r="B56" s="28" t="s">
        <v>319</v>
      </c>
      <c r="C56" s="47">
        <v>0</v>
      </c>
      <c r="D56" s="48">
        <v>10100822.48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148">
        <f>+Q56/D56</f>
        <v>0</v>
      </c>
      <c r="S56" s="147">
        <f>+C56-Q56</f>
        <v>0</v>
      </c>
      <c r="T56" s="148" t="e">
        <f>+S56/C56</f>
        <v>#DIV/0!</v>
      </c>
      <c r="U56" s="147">
        <f>+D56-Q56</f>
        <v>10100822.48</v>
      </c>
      <c r="V56" s="148">
        <f>+U56/D56</f>
        <v>1</v>
      </c>
      <c r="W56" s="158">
        <f>SUM(D56:Q56)</f>
        <v>10100822.48</v>
      </c>
      <c r="X56" s="3"/>
      <c r="Y56" s="3"/>
      <c r="Z56" s="3"/>
      <c r="AA56" s="3"/>
      <c r="AB56" s="3"/>
      <c r="AC56" s="3"/>
    </row>
    <row r="57" spans="1:22" s="3" customFormat="1" ht="15">
      <c r="A57" s="136" t="s">
        <v>136</v>
      </c>
      <c r="B57" s="28" t="s">
        <v>174</v>
      </c>
      <c r="C57" s="47">
        <v>39600000</v>
      </c>
      <c r="D57" s="48"/>
      <c r="E57" s="48">
        <v>3203385</v>
      </c>
      <c r="F57" s="48">
        <v>2944508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147">
        <f>SUM(E57:P57)</f>
        <v>6147893</v>
      </c>
      <c r="R57" s="148">
        <f>+Q57/C57</f>
        <v>0.15524982323232323</v>
      </c>
      <c r="S57" s="147">
        <f>+C57-Q57</f>
        <v>33452107</v>
      </c>
      <c r="T57" s="148">
        <f>+S57/C57</f>
        <v>0.8447501767676767</v>
      </c>
      <c r="U57" s="147">
        <f>+C57-Q57</f>
        <v>33452107</v>
      </c>
      <c r="V57" s="148">
        <f>+U57/C57</f>
        <v>0.8447501767676767</v>
      </c>
    </row>
    <row r="58" spans="1:22" s="3" customFormat="1" ht="17.25" customHeight="1" hidden="1">
      <c r="A58" s="30" t="s">
        <v>51</v>
      </c>
      <c r="B58" s="35" t="s">
        <v>52</v>
      </c>
      <c r="C58" s="48">
        <v>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61"/>
      <c r="R58" s="61"/>
      <c r="S58" s="59">
        <v>0</v>
      </c>
      <c r="T58" s="59"/>
      <c r="U58" s="61"/>
      <c r="V58" s="61"/>
    </row>
    <row r="59" spans="1:22" s="3" customFormat="1" ht="15">
      <c r="A59" s="23" t="s">
        <v>53</v>
      </c>
      <c r="B59" s="8" t="s">
        <v>54</v>
      </c>
      <c r="C59" s="77">
        <f>+C60+C67+C68</f>
        <v>6573220</v>
      </c>
      <c r="D59" s="77"/>
      <c r="E59" s="77">
        <f>+E60+E68</f>
        <v>6365</v>
      </c>
      <c r="F59" s="77">
        <f>+F60+F67+F68</f>
        <v>367445.9</v>
      </c>
      <c r="G59" s="77">
        <f aca="true" t="shared" si="27" ref="G59:P59">SUM(G60:G60)</f>
        <v>0</v>
      </c>
      <c r="H59" s="77">
        <f t="shared" si="27"/>
        <v>0</v>
      </c>
      <c r="I59" s="77">
        <f t="shared" si="27"/>
        <v>0</v>
      </c>
      <c r="J59" s="77">
        <f t="shared" si="27"/>
        <v>0</v>
      </c>
      <c r="K59" s="77">
        <f t="shared" si="27"/>
        <v>0</v>
      </c>
      <c r="L59" s="77">
        <f t="shared" si="27"/>
        <v>0</v>
      </c>
      <c r="M59" s="77">
        <f t="shared" si="27"/>
        <v>0</v>
      </c>
      <c r="N59" s="77">
        <f t="shared" si="27"/>
        <v>0</v>
      </c>
      <c r="O59" s="77">
        <f t="shared" si="27"/>
        <v>0</v>
      </c>
      <c r="P59" s="77">
        <f t="shared" si="27"/>
        <v>0</v>
      </c>
      <c r="Q59" s="81">
        <f>SUM(E59:P59)</f>
        <v>373810.9</v>
      </c>
      <c r="R59" s="82">
        <f>+Q59/C59</f>
        <v>0.0568687644715984</v>
      </c>
      <c r="S59" s="81">
        <f>+C59-Q59</f>
        <v>6199409.1</v>
      </c>
      <c r="T59" s="82">
        <f>+S59/C59</f>
        <v>0.9431312355284015</v>
      </c>
      <c r="U59" s="81">
        <f>+C59+D59-Q59</f>
        <v>6199409.1</v>
      </c>
      <c r="V59" s="79">
        <f>+U59/C59</f>
        <v>0.9431312355284015</v>
      </c>
    </row>
    <row r="60" spans="1:22" s="3" customFormat="1" ht="15">
      <c r="A60" s="143" t="s">
        <v>137</v>
      </c>
      <c r="B60" s="27" t="s">
        <v>162</v>
      </c>
      <c r="C60" s="47">
        <v>20000</v>
      </c>
      <c r="D60" s="48"/>
      <c r="E60" s="48">
        <v>6365</v>
      </c>
      <c r="F60" s="48">
        <v>5770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147">
        <f aca="true" t="shared" si="28" ref="Q60:Q82">SUM(E60:P60)</f>
        <v>12135</v>
      </c>
      <c r="R60" s="148">
        <f>+Q60/C60</f>
        <v>0.60675</v>
      </c>
      <c r="S60" s="147">
        <f>+C60-Q60</f>
        <v>7865</v>
      </c>
      <c r="T60" s="148">
        <f>+S60/C60</f>
        <v>0.39325</v>
      </c>
      <c r="U60" s="147">
        <f>+C60-Q60</f>
        <v>7865</v>
      </c>
      <c r="V60" s="148">
        <f>+U60/C60</f>
        <v>0.39325</v>
      </c>
    </row>
    <row r="61" spans="1:22" s="3" customFormat="1" ht="17.25" customHeight="1" hidden="1">
      <c r="A61" s="33" t="s">
        <v>115</v>
      </c>
      <c r="B61" s="28" t="s">
        <v>56</v>
      </c>
      <c r="C61" s="48">
        <v>100000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47">
        <f t="shared" si="28"/>
        <v>0</v>
      </c>
      <c r="R61" s="148">
        <f>+Q61/C61</f>
        <v>0</v>
      </c>
      <c r="S61" s="147">
        <f>+C61-Q61</f>
        <v>100000</v>
      </c>
      <c r="T61" s="148">
        <f>+S61/C61</f>
        <v>1</v>
      </c>
      <c r="U61" s="147">
        <f>SUM(D61:T61)</f>
        <v>100001</v>
      </c>
      <c r="V61" s="148" t="e">
        <f>+U61/#REF!</f>
        <v>#REF!</v>
      </c>
    </row>
    <row r="62" spans="1:29" s="12" customFormat="1" ht="17.25" customHeight="1" hidden="1">
      <c r="A62" s="23" t="s">
        <v>57</v>
      </c>
      <c r="B62" s="8" t="s">
        <v>58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147">
        <f t="shared" si="28"/>
        <v>0</v>
      </c>
      <c r="R62" s="147"/>
      <c r="S62" s="147"/>
      <c r="T62" s="147"/>
      <c r="U62" s="147"/>
      <c r="V62" s="147"/>
      <c r="W62" s="1"/>
      <c r="X62" s="1"/>
      <c r="Y62" s="1"/>
      <c r="Z62" s="1"/>
      <c r="AA62" s="1"/>
      <c r="AB62" s="1"/>
      <c r="AC62" s="10"/>
    </row>
    <row r="63" spans="1:28" s="10" customFormat="1" ht="17.25" customHeight="1" hidden="1">
      <c r="A63" s="24" t="s">
        <v>59</v>
      </c>
      <c r="B63" s="9" t="s">
        <v>60</v>
      </c>
      <c r="C63" s="57">
        <v>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47">
        <f t="shared" si="28"/>
        <v>0</v>
      </c>
      <c r="R63" s="147"/>
      <c r="S63" s="149">
        <v>0</v>
      </c>
      <c r="T63" s="149"/>
      <c r="U63" s="147"/>
      <c r="V63" s="147"/>
      <c r="W63" s="1"/>
      <c r="X63" s="1"/>
      <c r="Y63" s="1"/>
      <c r="Z63" s="1"/>
      <c r="AA63" s="1"/>
      <c r="AB63" s="1"/>
    </row>
    <row r="64" spans="1:29" s="3" customFormat="1" ht="17.25" customHeight="1" hidden="1">
      <c r="A64" s="24" t="s">
        <v>61</v>
      </c>
      <c r="B64" s="9" t="s">
        <v>62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47">
        <f t="shared" si="28"/>
        <v>0</v>
      </c>
      <c r="R64" s="147"/>
      <c r="S64" s="147"/>
      <c r="T64" s="147"/>
      <c r="U64" s="147"/>
      <c r="V64" s="147"/>
      <c r="W64" s="1"/>
      <c r="X64" s="1"/>
      <c r="Y64" s="1"/>
      <c r="Z64" s="1"/>
      <c r="AA64" s="1"/>
      <c r="AB64" s="1"/>
      <c r="AC64" s="10"/>
    </row>
    <row r="65" spans="1:28" s="10" customFormat="1" ht="17.25" customHeight="1" hidden="1">
      <c r="A65" s="24" t="s">
        <v>63</v>
      </c>
      <c r="B65" s="9" t="s">
        <v>64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47">
        <f t="shared" si="28"/>
        <v>0</v>
      </c>
      <c r="R65" s="147"/>
      <c r="S65" s="147"/>
      <c r="T65" s="147"/>
      <c r="U65" s="147"/>
      <c r="V65" s="147"/>
      <c r="W65" s="1"/>
      <c r="X65" s="1"/>
      <c r="Y65" s="1"/>
      <c r="Z65" s="1"/>
      <c r="AA65" s="1"/>
      <c r="AB65" s="1"/>
    </row>
    <row r="66" spans="1:28" s="10" customFormat="1" ht="69" customHeight="1" hidden="1">
      <c r="A66" s="24" t="s">
        <v>65</v>
      </c>
      <c r="B66" s="9" t="s">
        <v>66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47">
        <f t="shared" si="28"/>
        <v>0</v>
      </c>
      <c r="R66" s="147"/>
      <c r="S66" s="147"/>
      <c r="T66" s="147"/>
      <c r="U66" s="147"/>
      <c r="V66" s="147"/>
      <c r="W66" s="1"/>
      <c r="X66" s="1"/>
      <c r="Y66" s="1"/>
      <c r="Z66" s="1"/>
      <c r="AA66" s="1"/>
      <c r="AB66" s="1"/>
    </row>
    <row r="67" spans="1:28" s="10" customFormat="1" ht="15">
      <c r="A67" s="144" t="s">
        <v>114</v>
      </c>
      <c r="B67" s="9" t="s">
        <v>55</v>
      </c>
      <c r="C67" s="48">
        <v>6533220</v>
      </c>
      <c r="D67" s="48"/>
      <c r="E67" s="48">
        <v>1897316.1</v>
      </c>
      <c r="F67" s="48">
        <v>359310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147">
        <f>SUM(E67:P67)</f>
        <v>2256626.1</v>
      </c>
      <c r="R67" s="148">
        <f>+Q67/C67</f>
        <v>0.3454079458521219</v>
      </c>
      <c r="S67" s="147">
        <f>+C67-Q67</f>
        <v>4276593.9</v>
      </c>
      <c r="T67" s="148">
        <f>+S67/C67</f>
        <v>0.6545920541478781</v>
      </c>
      <c r="U67" s="147">
        <f>+C67-Q67</f>
        <v>4276593.9</v>
      </c>
      <c r="V67" s="148">
        <f>+U67/C67</f>
        <v>0.6545920541478781</v>
      </c>
      <c r="W67" s="1"/>
      <c r="X67" s="1"/>
      <c r="Y67" s="1"/>
      <c r="Z67" s="1"/>
      <c r="AA67" s="1"/>
      <c r="AB67" s="1"/>
    </row>
    <row r="68" spans="1:28" s="10" customFormat="1" ht="15">
      <c r="A68" s="154" t="s">
        <v>115</v>
      </c>
      <c r="B68" s="9" t="s">
        <v>305</v>
      </c>
      <c r="C68" s="48">
        <v>20000</v>
      </c>
      <c r="D68" s="48"/>
      <c r="E68" s="48">
        <v>0</v>
      </c>
      <c r="F68" s="48">
        <v>2365.9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147">
        <f t="shared" si="28"/>
        <v>2365.9</v>
      </c>
      <c r="R68" s="148">
        <f>+Q68/C68</f>
        <v>0.11829500000000001</v>
      </c>
      <c r="S68" s="147">
        <f>+C68-Q68</f>
        <v>17634.1</v>
      </c>
      <c r="T68" s="148">
        <f>+S68/C68</f>
        <v>0.881705</v>
      </c>
      <c r="U68" s="147">
        <f>+C68-Q68</f>
        <v>17634.1</v>
      </c>
      <c r="V68" s="148">
        <f>+U68/C68</f>
        <v>0.881705</v>
      </c>
      <c r="W68" s="1"/>
      <c r="X68" s="1"/>
      <c r="Y68" s="1"/>
      <c r="Z68" s="1"/>
      <c r="AA68" s="1"/>
      <c r="AB68" s="1"/>
    </row>
    <row r="69" spans="1:22" s="13" customFormat="1" ht="15">
      <c r="A69" s="23" t="s">
        <v>57</v>
      </c>
      <c r="B69" s="8" t="s">
        <v>294</v>
      </c>
      <c r="C69" s="77">
        <f>+C70+C71+C72+C73</f>
        <v>1420000</v>
      </c>
      <c r="D69" s="77"/>
      <c r="E69" s="77">
        <f>+E71+E72+E73</f>
        <v>1063475</v>
      </c>
      <c r="F69" s="77">
        <f>+F70+F71+F72+F73</f>
        <v>2578.3</v>
      </c>
      <c r="G69" s="77">
        <f aca="true" t="shared" si="29" ref="G69:P69">+G70+G71+G72+G73</f>
        <v>0</v>
      </c>
      <c r="H69" s="77">
        <f t="shared" si="29"/>
        <v>0</v>
      </c>
      <c r="I69" s="77">
        <f t="shared" si="29"/>
        <v>0</v>
      </c>
      <c r="J69" s="77">
        <f t="shared" si="29"/>
        <v>0</v>
      </c>
      <c r="K69" s="77">
        <f t="shared" si="29"/>
        <v>0</v>
      </c>
      <c r="L69" s="77">
        <f t="shared" si="29"/>
        <v>0</v>
      </c>
      <c r="M69" s="77">
        <f t="shared" si="29"/>
        <v>0</v>
      </c>
      <c r="N69" s="77">
        <f t="shared" si="29"/>
        <v>0</v>
      </c>
      <c r="O69" s="77">
        <f t="shared" si="29"/>
        <v>0</v>
      </c>
      <c r="P69" s="77">
        <f t="shared" si="29"/>
        <v>0</v>
      </c>
      <c r="Q69" s="81">
        <f>SUM(E69:P69)</f>
        <v>1066053.3</v>
      </c>
      <c r="R69" s="82">
        <f>+Q69/(C69+D69)</f>
        <v>0.7507417605633803</v>
      </c>
      <c r="S69" s="81">
        <f aca="true" t="shared" si="30" ref="S69:S80">+C69-Q69</f>
        <v>353946.69999999995</v>
      </c>
      <c r="T69" s="82">
        <f aca="true" t="shared" si="31" ref="T69:T80">+S69/C69</f>
        <v>0.24925823943661968</v>
      </c>
      <c r="U69" s="81">
        <f>+C69+D69-Q69</f>
        <v>353946.69999999995</v>
      </c>
      <c r="V69" s="79">
        <f>+U69/C69</f>
        <v>0.24925823943661968</v>
      </c>
    </row>
    <row r="70" spans="1:22" s="13" customFormat="1" ht="15">
      <c r="A70" s="155" t="s">
        <v>306</v>
      </c>
      <c r="B70" s="28" t="s">
        <v>307</v>
      </c>
      <c r="C70" s="48">
        <v>20000</v>
      </c>
      <c r="D70" s="48"/>
      <c r="E70" s="48">
        <v>0</v>
      </c>
      <c r="F70" s="47">
        <v>2578.3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147">
        <f>SUM(E70:P70)</f>
        <v>2578.3</v>
      </c>
      <c r="R70" s="148">
        <f>+Q70/C70</f>
        <v>0.128915</v>
      </c>
      <c r="S70" s="147">
        <f>+C70-Q70</f>
        <v>17421.7</v>
      </c>
      <c r="T70" s="148">
        <f>+S70/C70</f>
        <v>0.871085</v>
      </c>
      <c r="U70" s="147">
        <f>+C70-Q70</f>
        <v>17421.7</v>
      </c>
      <c r="V70" s="148">
        <f>+U70/C70</f>
        <v>0.871085</v>
      </c>
    </row>
    <row r="71" spans="1:22" s="3" customFormat="1" ht="15">
      <c r="A71" s="138" t="s">
        <v>147</v>
      </c>
      <c r="B71" s="28" t="s">
        <v>62</v>
      </c>
      <c r="C71" s="48">
        <v>300000</v>
      </c>
      <c r="D71" s="48"/>
      <c r="E71" s="48">
        <v>190275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147">
        <f t="shared" si="28"/>
        <v>190275</v>
      </c>
      <c r="R71" s="148">
        <f>+Q71/C71</f>
        <v>0.63425</v>
      </c>
      <c r="S71" s="147">
        <f t="shared" si="30"/>
        <v>109725</v>
      </c>
      <c r="T71" s="148">
        <f t="shared" si="31"/>
        <v>0.36575</v>
      </c>
      <c r="U71" s="147">
        <f>+C71-Q71</f>
        <v>109725</v>
      </c>
      <c r="V71" s="148">
        <f aca="true" t="shared" si="32" ref="V71:V80">+U71/C71</f>
        <v>0.36575</v>
      </c>
    </row>
    <row r="72" spans="1:22" s="3" customFormat="1" ht="15">
      <c r="A72" s="138" t="s">
        <v>148</v>
      </c>
      <c r="B72" s="28" t="s">
        <v>175</v>
      </c>
      <c r="C72" s="48">
        <v>700000</v>
      </c>
      <c r="D72" s="48"/>
      <c r="E72" s="48">
        <v>507400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147">
        <f t="shared" si="28"/>
        <v>507400</v>
      </c>
      <c r="R72" s="148">
        <f>+Q72/C72</f>
        <v>0.7248571428571429</v>
      </c>
      <c r="S72" s="147">
        <f t="shared" si="30"/>
        <v>192600</v>
      </c>
      <c r="T72" s="148">
        <f t="shared" si="31"/>
        <v>0.27514285714285713</v>
      </c>
      <c r="U72" s="147">
        <f>+C72-Q72</f>
        <v>192600</v>
      </c>
      <c r="V72" s="148">
        <f t="shared" si="32"/>
        <v>0.27514285714285713</v>
      </c>
    </row>
    <row r="73" spans="1:22" s="3" customFormat="1" ht="15">
      <c r="A73" s="138" t="s">
        <v>149</v>
      </c>
      <c r="B73" s="28" t="s">
        <v>66</v>
      </c>
      <c r="C73" s="48">
        <v>400000</v>
      </c>
      <c r="D73" s="48"/>
      <c r="E73" s="48">
        <v>365800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147">
        <f t="shared" si="28"/>
        <v>365800</v>
      </c>
      <c r="R73" s="148">
        <f>+Q73/(D73+C73)</f>
        <v>0.9145</v>
      </c>
      <c r="S73" s="147">
        <f t="shared" si="30"/>
        <v>34200</v>
      </c>
      <c r="T73" s="148">
        <f t="shared" si="31"/>
        <v>0.0855</v>
      </c>
      <c r="U73" s="147">
        <f>+C73+D73-Q73</f>
        <v>34200</v>
      </c>
      <c r="V73" s="148">
        <f t="shared" si="32"/>
        <v>0.0855</v>
      </c>
    </row>
    <row r="74" spans="1:22" s="3" customFormat="1" ht="15">
      <c r="A74" s="23" t="s">
        <v>310</v>
      </c>
      <c r="B74" s="8" t="s">
        <v>311</v>
      </c>
      <c r="C74" s="77">
        <f>+C75</f>
        <v>100000</v>
      </c>
      <c r="D74" s="77"/>
      <c r="E74" s="77"/>
      <c r="F74" s="77">
        <f>+F75</f>
        <v>21000</v>
      </c>
      <c r="G74" s="77">
        <f aca="true" t="shared" si="33" ref="G74:P74">+G75</f>
        <v>0</v>
      </c>
      <c r="H74" s="77">
        <f t="shared" si="33"/>
        <v>0</v>
      </c>
      <c r="I74" s="77">
        <f t="shared" si="33"/>
        <v>0</v>
      </c>
      <c r="J74" s="77">
        <f t="shared" si="33"/>
        <v>0</v>
      </c>
      <c r="K74" s="77">
        <f t="shared" si="33"/>
        <v>0</v>
      </c>
      <c r="L74" s="77">
        <f t="shared" si="33"/>
        <v>0</v>
      </c>
      <c r="M74" s="77">
        <f t="shared" si="33"/>
        <v>0</v>
      </c>
      <c r="N74" s="77">
        <f t="shared" si="33"/>
        <v>0</v>
      </c>
      <c r="O74" s="77">
        <f t="shared" si="33"/>
        <v>0</v>
      </c>
      <c r="P74" s="77">
        <f t="shared" si="33"/>
        <v>0</v>
      </c>
      <c r="Q74" s="81">
        <f>SUM(E74:P74)</f>
        <v>21000</v>
      </c>
      <c r="R74" s="82">
        <f aca="true" t="shared" si="34" ref="R74:R81">+Q74/C74</f>
        <v>0.21</v>
      </c>
      <c r="S74" s="81">
        <f>+C74-Q74</f>
        <v>79000</v>
      </c>
      <c r="T74" s="82">
        <f>+S74/C74</f>
        <v>0.79</v>
      </c>
      <c r="U74" s="81">
        <f>+C74+D74-Q74</f>
        <v>79000</v>
      </c>
      <c r="V74" s="79">
        <f>+U74/C74</f>
        <v>0.79</v>
      </c>
    </row>
    <row r="75" spans="1:22" s="3" customFormat="1" ht="15">
      <c r="A75" s="156" t="s">
        <v>309</v>
      </c>
      <c r="B75" s="27" t="s">
        <v>308</v>
      </c>
      <c r="C75" s="48">
        <v>100000</v>
      </c>
      <c r="D75" s="48"/>
      <c r="E75" s="48">
        <v>0</v>
      </c>
      <c r="F75" s="48">
        <v>21000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147">
        <f>SUM(E75:P75)</f>
        <v>21000</v>
      </c>
      <c r="R75" s="148">
        <f t="shared" si="34"/>
        <v>0.21</v>
      </c>
      <c r="S75" s="147">
        <f>+C75-Q75</f>
        <v>79000</v>
      </c>
      <c r="T75" s="148">
        <f>+S75/C75</f>
        <v>0.79</v>
      </c>
      <c r="U75" s="147">
        <f>+C75-Q75</f>
        <v>79000</v>
      </c>
      <c r="V75" s="148">
        <f>+U75/C75</f>
        <v>0.79</v>
      </c>
    </row>
    <row r="76" spans="1:22" s="3" customFormat="1" ht="15">
      <c r="A76" s="23" t="s">
        <v>314</v>
      </c>
      <c r="B76" s="8" t="s">
        <v>315</v>
      </c>
      <c r="C76" s="77">
        <v>3000000</v>
      </c>
      <c r="D76" s="77"/>
      <c r="E76" s="77">
        <f>+E77</f>
        <v>0</v>
      </c>
      <c r="F76" s="77">
        <f>+F77</f>
        <v>2872561.84</v>
      </c>
      <c r="G76" s="77">
        <f aca="true" t="shared" si="35" ref="G76:P76">+G77</f>
        <v>0</v>
      </c>
      <c r="H76" s="77">
        <f t="shared" si="35"/>
        <v>0</v>
      </c>
      <c r="I76" s="77">
        <f t="shared" si="35"/>
        <v>0</v>
      </c>
      <c r="J76" s="77">
        <f t="shared" si="35"/>
        <v>0</v>
      </c>
      <c r="K76" s="77">
        <f t="shared" si="35"/>
        <v>0</v>
      </c>
      <c r="L76" s="77">
        <f t="shared" si="35"/>
        <v>0</v>
      </c>
      <c r="M76" s="77">
        <f t="shared" si="35"/>
        <v>0</v>
      </c>
      <c r="N76" s="77">
        <f t="shared" si="35"/>
        <v>0</v>
      </c>
      <c r="O76" s="77">
        <f t="shared" si="35"/>
        <v>0</v>
      </c>
      <c r="P76" s="77">
        <f t="shared" si="35"/>
        <v>0</v>
      </c>
      <c r="Q76" s="81">
        <f>SUM(E76:P76)</f>
        <v>2872561.84</v>
      </c>
      <c r="R76" s="82">
        <f t="shared" si="34"/>
        <v>0.9575206133333333</v>
      </c>
      <c r="S76" s="81">
        <f>+C76-Q76</f>
        <v>127438.16000000015</v>
      </c>
      <c r="T76" s="82">
        <f>+S76/C76</f>
        <v>0.042479386666666716</v>
      </c>
      <c r="U76" s="81">
        <f>+C76+D76-Q76</f>
        <v>127438.16000000015</v>
      </c>
      <c r="V76" s="79">
        <f>+U76/C76</f>
        <v>0.042479386666666716</v>
      </c>
    </row>
    <row r="77" spans="1:22" s="3" customFormat="1" ht="15">
      <c r="A77" s="156" t="s">
        <v>313</v>
      </c>
      <c r="B77" s="27" t="s">
        <v>312</v>
      </c>
      <c r="C77" s="48">
        <v>3000000</v>
      </c>
      <c r="D77" s="48"/>
      <c r="E77" s="48">
        <v>0</v>
      </c>
      <c r="F77" s="48">
        <v>2872561.84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147">
        <f>SUM(E77:P77)</f>
        <v>2872561.84</v>
      </c>
      <c r="R77" s="148">
        <f t="shared" si="34"/>
        <v>0.9575206133333333</v>
      </c>
      <c r="S77" s="147">
        <f>+C77-Q77</f>
        <v>127438.16000000015</v>
      </c>
      <c r="T77" s="148">
        <f>+S77/C77</f>
        <v>0.042479386666666716</v>
      </c>
      <c r="U77" s="147">
        <f>+C77-Q77</f>
        <v>127438.16000000015</v>
      </c>
      <c r="V77" s="148">
        <f>+U77/C77</f>
        <v>0.042479386666666716</v>
      </c>
    </row>
    <row r="78" spans="1:29" s="12" customFormat="1" ht="15">
      <c r="A78" s="23" t="s">
        <v>67</v>
      </c>
      <c r="B78" s="8" t="s">
        <v>295</v>
      </c>
      <c r="C78" s="77">
        <f>+C79+C80</f>
        <v>120000</v>
      </c>
      <c r="D78" s="77"/>
      <c r="E78" s="77">
        <f>+E79+E80</f>
        <v>74235.76</v>
      </c>
      <c r="F78" s="77">
        <f aca="true" t="shared" si="36" ref="F78:P78">+F79+F80</f>
        <v>1298</v>
      </c>
      <c r="G78" s="77">
        <f t="shared" si="36"/>
        <v>0</v>
      </c>
      <c r="H78" s="77">
        <f t="shared" si="36"/>
        <v>0</v>
      </c>
      <c r="I78" s="77">
        <f t="shared" si="36"/>
        <v>0</v>
      </c>
      <c r="J78" s="77">
        <f t="shared" si="36"/>
        <v>0</v>
      </c>
      <c r="K78" s="77">
        <f t="shared" si="36"/>
        <v>0</v>
      </c>
      <c r="L78" s="77">
        <f t="shared" si="36"/>
        <v>0</v>
      </c>
      <c r="M78" s="77">
        <f t="shared" si="36"/>
        <v>0</v>
      </c>
      <c r="N78" s="77">
        <f t="shared" si="36"/>
        <v>0</v>
      </c>
      <c r="O78" s="77">
        <f t="shared" si="36"/>
        <v>0</v>
      </c>
      <c r="P78" s="77">
        <f t="shared" si="36"/>
        <v>0</v>
      </c>
      <c r="Q78" s="81">
        <f>SUM(E78:P78)</f>
        <v>75533.76</v>
      </c>
      <c r="R78" s="82">
        <f t="shared" si="34"/>
        <v>0.629448</v>
      </c>
      <c r="S78" s="81">
        <f t="shared" si="30"/>
        <v>44466.240000000005</v>
      </c>
      <c r="T78" s="82">
        <f t="shared" si="31"/>
        <v>0.37055200000000005</v>
      </c>
      <c r="U78" s="81">
        <f>+C78+D78-Q78</f>
        <v>44466.240000000005</v>
      </c>
      <c r="V78" s="79">
        <f>+U78/C78</f>
        <v>0.37055200000000005</v>
      </c>
      <c r="W78" s="1"/>
      <c r="X78" s="1"/>
      <c r="Y78" s="1"/>
      <c r="Z78" s="1"/>
      <c r="AA78" s="1"/>
      <c r="AB78" s="1"/>
      <c r="AC78" s="10"/>
    </row>
    <row r="79" spans="1:29" s="3" customFormat="1" ht="15">
      <c r="A79" s="143" t="s">
        <v>116</v>
      </c>
      <c r="B79" s="27" t="s">
        <v>68</v>
      </c>
      <c r="C79" s="48">
        <v>20000</v>
      </c>
      <c r="D79" s="48"/>
      <c r="E79" s="48">
        <v>7570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147">
        <f t="shared" si="28"/>
        <v>7570</v>
      </c>
      <c r="R79" s="148">
        <f t="shared" si="34"/>
        <v>0.3785</v>
      </c>
      <c r="S79" s="147">
        <f t="shared" si="30"/>
        <v>12430</v>
      </c>
      <c r="T79" s="148">
        <f t="shared" si="31"/>
        <v>0.6215</v>
      </c>
      <c r="U79" s="147">
        <f>+C79-Q79</f>
        <v>12430</v>
      </c>
      <c r="V79" s="148">
        <f t="shared" si="32"/>
        <v>0.6215</v>
      </c>
      <c r="W79" s="2"/>
      <c r="X79" s="2"/>
      <c r="Y79" s="2"/>
      <c r="Z79" s="2"/>
      <c r="AA79" s="2"/>
      <c r="AB79" s="2"/>
      <c r="AC79" s="4"/>
    </row>
    <row r="80" spans="1:29" s="3" customFormat="1" ht="15">
      <c r="A80" s="143" t="s">
        <v>117</v>
      </c>
      <c r="B80" s="27" t="s">
        <v>69</v>
      </c>
      <c r="C80" s="42">
        <v>100000</v>
      </c>
      <c r="D80" s="48"/>
      <c r="E80" s="48">
        <v>66665.76</v>
      </c>
      <c r="F80" s="47">
        <v>1298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147">
        <f t="shared" si="28"/>
        <v>67963.76</v>
      </c>
      <c r="R80" s="148">
        <f t="shared" si="34"/>
        <v>0.6796376</v>
      </c>
      <c r="S80" s="147">
        <f t="shared" si="30"/>
        <v>32036.240000000005</v>
      </c>
      <c r="T80" s="148">
        <f t="shared" si="31"/>
        <v>0.32036240000000005</v>
      </c>
      <c r="U80" s="147">
        <f>+C80-Q80</f>
        <v>32036.240000000005</v>
      </c>
      <c r="V80" s="148">
        <f t="shared" si="32"/>
        <v>0.32036240000000005</v>
      </c>
      <c r="W80" s="2"/>
      <c r="X80" s="2"/>
      <c r="Y80" s="2"/>
      <c r="Z80" s="2"/>
      <c r="AA80" s="2"/>
      <c r="AB80" s="2"/>
      <c r="AC80" s="4"/>
    </row>
    <row r="81" spans="1:29" s="12" customFormat="1" ht="30">
      <c r="A81" s="145" t="s">
        <v>70</v>
      </c>
      <c r="B81" s="39" t="s">
        <v>296</v>
      </c>
      <c r="C81" s="77">
        <f>+C82</f>
        <v>100000</v>
      </c>
      <c r="D81" s="77"/>
      <c r="E81" s="77">
        <f>+E82</f>
        <v>17628.94</v>
      </c>
      <c r="F81" s="77">
        <f aca="true" t="shared" si="37" ref="F81:P81">+F82</f>
        <v>11017.54</v>
      </c>
      <c r="G81" s="77">
        <f t="shared" si="37"/>
        <v>0</v>
      </c>
      <c r="H81" s="77">
        <f t="shared" si="37"/>
        <v>0</v>
      </c>
      <c r="I81" s="77">
        <f t="shared" si="37"/>
        <v>0</v>
      </c>
      <c r="J81" s="77">
        <f t="shared" si="37"/>
        <v>0</v>
      </c>
      <c r="K81" s="77">
        <f t="shared" si="37"/>
        <v>0</v>
      </c>
      <c r="L81" s="77">
        <f t="shared" si="37"/>
        <v>0</v>
      </c>
      <c r="M81" s="77">
        <f t="shared" si="37"/>
        <v>0</v>
      </c>
      <c r="N81" s="77">
        <f t="shared" si="37"/>
        <v>0</v>
      </c>
      <c r="O81" s="77">
        <f t="shared" si="37"/>
        <v>0</v>
      </c>
      <c r="P81" s="77">
        <f t="shared" si="37"/>
        <v>0</v>
      </c>
      <c r="Q81" s="81">
        <f>SUM(E81:P81)</f>
        <v>28646.48</v>
      </c>
      <c r="R81" s="82">
        <f t="shared" si="34"/>
        <v>0.2864648</v>
      </c>
      <c r="S81" s="81">
        <f>+C81-Q81</f>
        <v>71353.52</v>
      </c>
      <c r="T81" s="82">
        <f>+S81/C81</f>
        <v>0.7135352</v>
      </c>
      <c r="U81" s="81">
        <f>+C81+D81-Q81</f>
        <v>71353.52</v>
      </c>
      <c r="V81" s="79">
        <f>+U81/C81</f>
        <v>0.7135352</v>
      </c>
      <c r="W81" s="1"/>
      <c r="X81" s="1"/>
      <c r="Y81" s="1"/>
      <c r="Z81" s="1"/>
      <c r="AA81" s="1"/>
      <c r="AB81" s="1"/>
      <c r="AC81" s="10"/>
    </row>
    <row r="82" spans="1:29" s="3" customFormat="1" ht="15">
      <c r="A82" s="143" t="s">
        <v>195</v>
      </c>
      <c r="B82" s="27" t="s">
        <v>203</v>
      </c>
      <c r="C82" s="42">
        <v>100000</v>
      </c>
      <c r="D82" s="48"/>
      <c r="E82" s="48">
        <v>17628.94</v>
      </c>
      <c r="F82" s="47">
        <v>11017.54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147">
        <f t="shared" si="28"/>
        <v>28646.48</v>
      </c>
      <c r="R82" s="148">
        <v>0</v>
      </c>
      <c r="S82" s="147">
        <f>+C82-Q82</f>
        <v>71353.52</v>
      </c>
      <c r="T82" s="148">
        <f>+S82/C82</f>
        <v>0.7135352</v>
      </c>
      <c r="U82" s="147">
        <f>+C82-Q82</f>
        <v>71353.52</v>
      </c>
      <c r="V82" s="148">
        <v>0</v>
      </c>
      <c r="W82" s="2"/>
      <c r="X82" s="2"/>
      <c r="Y82" s="2"/>
      <c r="Z82" s="2"/>
      <c r="AA82" s="2"/>
      <c r="AB82" s="2"/>
      <c r="AC82" s="4"/>
    </row>
    <row r="83" spans="1:22" s="3" customFormat="1" ht="15" hidden="1">
      <c r="A83" s="26" t="s">
        <v>71</v>
      </c>
      <c r="B83" s="6" t="s">
        <v>72</v>
      </c>
      <c r="C83" s="63">
        <v>0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61"/>
      <c r="R83" s="61"/>
      <c r="S83" s="64">
        <v>0</v>
      </c>
      <c r="T83" s="64"/>
      <c r="U83" s="61"/>
      <c r="V83" s="61"/>
    </row>
    <row r="84" spans="1:22" s="13" customFormat="1" ht="30">
      <c r="A84" s="44" t="s">
        <v>73</v>
      </c>
      <c r="B84" s="39" t="s">
        <v>74</v>
      </c>
      <c r="C84" s="77">
        <f>+C85+C86+C87+C88+C90+C91+C93+C94+C95</f>
        <v>57648400</v>
      </c>
      <c r="D84" s="77"/>
      <c r="E84" s="77">
        <f>+E85+E86+E87+E88+E90+E91+E95+E94</f>
        <v>5642866.6</v>
      </c>
      <c r="F84" s="77">
        <f>+F85+F86+F87+F88+F90+F91+F93+F94+F95</f>
        <v>8453101.8</v>
      </c>
      <c r="G84" s="77">
        <f aca="true" t="shared" si="38" ref="G84:P84">+G85+G86+G87+G88+G90+G91+G95+G94</f>
        <v>0</v>
      </c>
      <c r="H84" s="77">
        <f t="shared" si="38"/>
        <v>0</v>
      </c>
      <c r="I84" s="77">
        <f t="shared" si="38"/>
        <v>0</v>
      </c>
      <c r="J84" s="77">
        <f t="shared" si="38"/>
        <v>0</v>
      </c>
      <c r="K84" s="77">
        <f t="shared" si="38"/>
        <v>0</v>
      </c>
      <c r="L84" s="77">
        <f t="shared" si="38"/>
        <v>0</v>
      </c>
      <c r="M84" s="77">
        <f t="shared" si="38"/>
        <v>0</v>
      </c>
      <c r="N84" s="77">
        <f t="shared" si="38"/>
        <v>0</v>
      </c>
      <c r="O84" s="77">
        <f t="shared" si="38"/>
        <v>0</v>
      </c>
      <c r="P84" s="77">
        <f t="shared" si="38"/>
        <v>0</v>
      </c>
      <c r="Q84" s="81">
        <f>SUM(E84:P84)</f>
        <v>14095968.4</v>
      </c>
      <c r="R84" s="82">
        <f>+Q84/C84</f>
        <v>0.2445162120718008</v>
      </c>
      <c r="S84" s="81">
        <f>+C84-Q84</f>
        <v>43552431.6</v>
      </c>
      <c r="T84" s="82">
        <f>+S84/C84</f>
        <v>0.7554837879281993</v>
      </c>
      <c r="U84" s="81">
        <f>+C84+D84-Q84</f>
        <v>43552431.6</v>
      </c>
      <c r="V84" s="79">
        <f>+U84/C84</f>
        <v>0.7554837879281993</v>
      </c>
    </row>
    <row r="85" spans="1:22" s="3" customFormat="1" ht="15">
      <c r="A85" s="117" t="s">
        <v>118</v>
      </c>
      <c r="B85" s="28" t="s">
        <v>75</v>
      </c>
      <c r="C85" s="47">
        <v>36000000</v>
      </c>
      <c r="D85" s="48"/>
      <c r="E85" s="48">
        <v>3328714.04</v>
      </c>
      <c r="F85" s="47">
        <v>5972380.67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147">
        <f aca="true" t="shared" si="39" ref="Q85:Q104">SUM(E85:P85)</f>
        <v>9301094.71</v>
      </c>
      <c r="R85" s="148">
        <f>+Q85/(D85+C85)</f>
        <v>0.25836374194444445</v>
      </c>
      <c r="S85" s="147">
        <f aca="true" t="shared" si="40" ref="S85:S104">+C85-Q85</f>
        <v>26698905.29</v>
      </c>
      <c r="T85" s="148">
        <f aca="true" t="shared" si="41" ref="T85:T104">+S85/C85</f>
        <v>0.7416362580555556</v>
      </c>
      <c r="U85" s="147">
        <f>+C85+D85-Q85</f>
        <v>26698905.29</v>
      </c>
      <c r="V85" s="148">
        <f>+U85/C85</f>
        <v>0.7416362580555556</v>
      </c>
    </row>
    <row r="86" spans="1:22" s="3" customFormat="1" ht="15">
      <c r="A86" s="117" t="s">
        <v>119</v>
      </c>
      <c r="B86" s="28" t="s">
        <v>76</v>
      </c>
      <c r="C86" s="47">
        <v>18600000</v>
      </c>
      <c r="D86" s="48"/>
      <c r="E86" s="48">
        <v>1722617.55</v>
      </c>
      <c r="F86" s="47">
        <v>2319700.84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147">
        <f t="shared" si="39"/>
        <v>4042318.3899999997</v>
      </c>
      <c r="R86" s="148">
        <f>+Q86/(D86+C86)</f>
        <v>0.21732894569892472</v>
      </c>
      <c r="S86" s="147">
        <f t="shared" si="40"/>
        <v>14557681.61</v>
      </c>
      <c r="T86" s="148">
        <f t="shared" si="41"/>
        <v>0.7826710543010752</v>
      </c>
      <c r="U86" s="147">
        <f>+C86+D86-Q86</f>
        <v>14557681.61</v>
      </c>
      <c r="V86" s="148">
        <f>+U86/C86</f>
        <v>0.7826710543010752</v>
      </c>
    </row>
    <row r="87" spans="1:22" s="3" customFormat="1" ht="15">
      <c r="A87" s="117" t="s">
        <v>120</v>
      </c>
      <c r="B87" s="28" t="s">
        <v>77</v>
      </c>
      <c r="C87" s="47">
        <v>200400</v>
      </c>
      <c r="D87" s="48"/>
      <c r="E87" s="48">
        <v>49989.5</v>
      </c>
      <c r="F87" s="47">
        <v>2500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147">
        <f t="shared" si="39"/>
        <v>52489.5</v>
      </c>
      <c r="R87" s="148">
        <v>0</v>
      </c>
      <c r="S87" s="147">
        <f t="shared" si="40"/>
        <v>147910.5</v>
      </c>
      <c r="T87" s="148">
        <f t="shared" si="41"/>
        <v>0.7380763473053892</v>
      </c>
      <c r="U87" s="147">
        <f aca="true" t="shared" si="42" ref="U87:U95">+C87-Q87</f>
        <v>147910.5</v>
      </c>
      <c r="V87" s="148">
        <v>0</v>
      </c>
    </row>
    <row r="88" spans="1:29" s="7" customFormat="1" ht="15">
      <c r="A88" s="117" t="s">
        <v>78</v>
      </c>
      <c r="B88" s="28" t="s">
        <v>79</v>
      </c>
      <c r="C88" s="47">
        <v>108000</v>
      </c>
      <c r="D88" s="48"/>
      <c r="E88" s="48">
        <v>0</v>
      </c>
      <c r="F88" s="47">
        <v>1227.2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147">
        <f t="shared" si="39"/>
        <v>1227.2</v>
      </c>
      <c r="R88" s="148">
        <f aca="true" t="shared" si="43" ref="R88:R93">+Q88/C88</f>
        <v>0.011362962962962964</v>
      </c>
      <c r="S88" s="147">
        <f t="shared" si="40"/>
        <v>106772.8</v>
      </c>
      <c r="T88" s="148">
        <f t="shared" si="41"/>
        <v>0.9886370370370371</v>
      </c>
      <c r="U88" s="147">
        <f t="shared" si="42"/>
        <v>106772.8</v>
      </c>
      <c r="V88" s="148">
        <f aca="true" t="shared" si="44" ref="V88:V93">+U88/C88</f>
        <v>0.9886370370370371</v>
      </c>
      <c r="W88" s="3"/>
      <c r="X88" s="3"/>
      <c r="Y88" s="3"/>
      <c r="Z88" s="3"/>
      <c r="AA88" s="3"/>
      <c r="AB88" s="3"/>
      <c r="AC88" s="3"/>
    </row>
    <row r="89" spans="1:29" s="7" customFormat="1" ht="15" hidden="1">
      <c r="A89" s="117" t="s">
        <v>154</v>
      </c>
      <c r="B89" s="28" t="s">
        <v>79</v>
      </c>
      <c r="C89" s="47">
        <f>+D89*12</f>
        <v>0</v>
      </c>
      <c r="D89" s="48"/>
      <c r="E89" s="48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147">
        <f t="shared" si="39"/>
        <v>0</v>
      </c>
      <c r="R89" s="148" t="e">
        <f t="shared" si="43"/>
        <v>#DIV/0!</v>
      </c>
      <c r="S89" s="147">
        <f t="shared" si="40"/>
        <v>0</v>
      </c>
      <c r="T89" s="148" t="e">
        <f t="shared" si="41"/>
        <v>#DIV/0!</v>
      </c>
      <c r="U89" s="147">
        <f t="shared" si="42"/>
        <v>0</v>
      </c>
      <c r="V89" s="148" t="e">
        <f t="shared" si="44"/>
        <v>#DIV/0!</v>
      </c>
      <c r="W89" s="3"/>
      <c r="X89" s="3"/>
      <c r="Y89" s="3"/>
      <c r="Z89" s="3"/>
      <c r="AA89" s="3"/>
      <c r="AB89" s="3"/>
      <c r="AC89" s="3"/>
    </row>
    <row r="90" spans="1:29" s="7" customFormat="1" ht="15">
      <c r="A90" s="117" t="s">
        <v>121</v>
      </c>
      <c r="B90" s="28" t="s">
        <v>80</v>
      </c>
      <c r="C90" s="47">
        <v>1152000</v>
      </c>
      <c r="D90" s="48"/>
      <c r="E90" s="48">
        <v>57313.51</v>
      </c>
      <c r="F90" s="47">
        <v>57020.17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147">
        <f t="shared" si="39"/>
        <v>114333.68</v>
      </c>
      <c r="R90" s="148">
        <f t="shared" si="43"/>
        <v>0.0992479861111111</v>
      </c>
      <c r="S90" s="147">
        <f t="shared" si="40"/>
        <v>1037666.3200000001</v>
      </c>
      <c r="T90" s="148">
        <f t="shared" si="41"/>
        <v>0.9007520138888889</v>
      </c>
      <c r="U90" s="147">
        <f t="shared" si="42"/>
        <v>1037666.3200000001</v>
      </c>
      <c r="V90" s="148">
        <f t="shared" si="44"/>
        <v>0.9007520138888889</v>
      </c>
      <c r="W90" s="3"/>
      <c r="X90" s="3"/>
      <c r="Y90" s="3"/>
      <c r="Z90" s="3"/>
      <c r="AA90" s="3"/>
      <c r="AB90" s="3"/>
      <c r="AC90" s="3"/>
    </row>
    <row r="91" spans="1:29" s="7" customFormat="1" ht="15">
      <c r="A91" s="40" t="s">
        <v>155</v>
      </c>
      <c r="B91" s="28" t="s">
        <v>156</v>
      </c>
      <c r="C91" s="47">
        <v>600000</v>
      </c>
      <c r="D91" s="48"/>
      <c r="E91" s="48">
        <v>483512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147">
        <f t="shared" si="39"/>
        <v>483512</v>
      </c>
      <c r="R91" s="148">
        <f t="shared" si="43"/>
        <v>0.8058533333333333</v>
      </c>
      <c r="S91" s="147">
        <f t="shared" si="40"/>
        <v>116488</v>
      </c>
      <c r="T91" s="148">
        <f t="shared" si="41"/>
        <v>0.19414666666666666</v>
      </c>
      <c r="U91" s="147">
        <f t="shared" si="42"/>
        <v>116488</v>
      </c>
      <c r="V91" s="148">
        <f t="shared" si="44"/>
        <v>0.19414666666666666</v>
      </c>
      <c r="W91" s="3"/>
      <c r="X91" s="3"/>
      <c r="Y91" s="3"/>
      <c r="Z91" s="3"/>
      <c r="AA91" s="3"/>
      <c r="AB91" s="3"/>
      <c r="AC91" s="3"/>
    </row>
    <row r="92" spans="1:29" s="7" customFormat="1" ht="30" hidden="1">
      <c r="A92" s="137" t="s">
        <v>122</v>
      </c>
      <c r="B92" s="36" t="s">
        <v>204</v>
      </c>
      <c r="C92" s="47">
        <f>+D92*12</f>
        <v>0</v>
      </c>
      <c r="D92" s="48"/>
      <c r="E92" s="48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47">
        <f t="shared" si="39"/>
        <v>0</v>
      </c>
      <c r="R92" s="148" t="e">
        <f t="shared" si="43"/>
        <v>#DIV/0!</v>
      </c>
      <c r="S92" s="147">
        <f t="shared" si="40"/>
        <v>0</v>
      </c>
      <c r="T92" s="148" t="e">
        <f t="shared" si="41"/>
        <v>#DIV/0!</v>
      </c>
      <c r="U92" s="147">
        <f t="shared" si="42"/>
        <v>0</v>
      </c>
      <c r="V92" s="148" t="e">
        <f t="shared" si="44"/>
        <v>#DIV/0!</v>
      </c>
      <c r="W92" s="3"/>
      <c r="X92" s="3"/>
      <c r="Y92" s="3"/>
      <c r="Z92" s="3"/>
      <c r="AA92" s="3"/>
      <c r="AB92" s="3"/>
      <c r="AC92" s="3"/>
    </row>
    <row r="93" spans="1:29" s="7" customFormat="1" ht="30">
      <c r="A93" s="137" t="s">
        <v>316</v>
      </c>
      <c r="B93" s="36" t="s">
        <v>317</v>
      </c>
      <c r="C93" s="47">
        <v>10000</v>
      </c>
      <c r="D93" s="48"/>
      <c r="E93" s="48">
        <v>0</v>
      </c>
      <c r="F93" s="47">
        <v>119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147">
        <f>SUM(E93:P93)</f>
        <v>119</v>
      </c>
      <c r="R93" s="148">
        <f t="shared" si="43"/>
        <v>0.0119</v>
      </c>
      <c r="S93" s="147">
        <f>+C93-Q93</f>
        <v>9881</v>
      </c>
      <c r="T93" s="148">
        <f>+S93/C93</f>
        <v>0.9881</v>
      </c>
      <c r="U93" s="147">
        <f>+C93-Q93</f>
        <v>9881</v>
      </c>
      <c r="V93" s="148">
        <f t="shared" si="44"/>
        <v>0.9881</v>
      </c>
      <c r="W93" s="3"/>
      <c r="X93" s="3"/>
      <c r="Y93" s="3"/>
      <c r="Z93" s="3"/>
      <c r="AA93" s="3"/>
      <c r="AB93" s="3"/>
      <c r="AC93" s="3"/>
    </row>
    <row r="94" spans="1:29" s="7" customFormat="1" ht="30">
      <c r="A94" s="137" t="s">
        <v>122</v>
      </c>
      <c r="B94" s="38" t="s">
        <v>204</v>
      </c>
      <c r="C94" s="47">
        <v>198000</v>
      </c>
      <c r="D94" s="48"/>
      <c r="E94" s="48">
        <v>720</v>
      </c>
      <c r="F94" s="47">
        <v>99053.92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147">
        <f>SUM(E94:P94)</f>
        <v>99773.92</v>
      </c>
      <c r="R94" s="148">
        <v>0</v>
      </c>
      <c r="S94" s="147">
        <f>+C94-Q94</f>
        <v>98226.08</v>
      </c>
      <c r="T94" s="148">
        <f>+S94/C94</f>
        <v>0.49609131313131316</v>
      </c>
      <c r="U94" s="147">
        <f>+C94-Q94</f>
        <v>98226.08</v>
      </c>
      <c r="V94" s="148">
        <v>0</v>
      </c>
      <c r="W94" s="3"/>
      <c r="X94" s="3"/>
      <c r="Y94" s="3"/>
      <c r="Z94" s="3"/>
      <c r="AA94" s="3"/>
      <c r="AB94" s="3"/>
      <c r="AC94" s="3"/>
    </row>
    <row r="95" spans="1:29" s="7" customFormat="1" ht="15">
      <c r="A95" s="137" t="s">
        <v>150</v>
      </c>
      <c r="B95" s="36" t="s">
        <v>163</v>
      </c>
      <c r="C95" s="47">
        <v>780000</v>
      </c>
      <c r="D95" s="48"/>
      <c r="E95" s="48">
        <v>0</v>
      </c>
      <c r="F95" s="47">
        <v>1100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147">
        <f t="shared" si="39"/>
        <v>1100</v>
      </c>
      <c r="R95" s="148">
        <v>0</v>
      </c>
      <c r="S95" s="147">
        <f t="shared" si="40"/>
        <v>778900</v>
      </c>
      <c r="T95" s="148">
        <f t="shared" si="41"/>
        <v>0.9985897435897436</v>
      </c>
      <c r="U95" s="147">
        <f t="shared" si="42"/>
        <v>778900</v>
      </c>
      <c r="V95" s="148">
        <v>0</v>
      </c>
      <c r="W95" s="3"/>
      <c r="X95" s="3"/>
      <c r="Y95" s="3"/>
      <c r="Z95" s="3"/>
      <c r="AA95" s="3"/>
      <c r="AB95" s="3"/>
      <c r="AC95" s="3"/>
    </row>
    <row r="96" spans="1:29" s="7" customFormat="1" ht="15">
      <c r="A96" s="23" t="s">
        <v>81</v>
      </c>
      <c r="B96" s="8" t="s">
        <v>82</v>
      </c>
      <c r="C96" s="77">
        <f>+C97+C98+C99+C100+C101+C102+C103+C104</f>
        <v>9587983.32</v>
      </c>
      <c r="D96" s="77"/>
      <c r="E96" s="77">
        <f aca="true" t="shared" si="45" ref="E96:P96">+E97+E98+E99+E100+E101+E102+E103+E104</f>
        <v>855304.93</v>
      </c>
      <c r="F96" s="77">
        <f t="shared" si="45"/>
        <v>4512</v>
      </c>
      <c r="G96" s="77">
        <f t="shared" si="45"/>
        <v>0</v>
      </c>
      <c r="H96" s="77">
        <f t="shared" si="45"/>
        <v>0</v>
      </c>
      <c r="I96" s="77">
        <f t="shared" si="45"/>
        <v>0</v>
      </c>
      <c r="J96" s="77">
        <f t="shared" si="45"/>
        <v>0</v>
      </c>
      <c r="K96" s="77">
        <f t="shared" si="45"/>
        <v>0</v>
      </c>
      <c r="L96" s="77">
        <f t="shared" si="45"/>
        <v>0</v>
      </c>
      <c r="M96" s="77">
        <f t="shared" si="45"/>
        <v>0</v>
      </c>
      <c r="N96" s="77">
        <f t="shared" si="45"/>
        <v>0</v>
      </c>
      <c r="O96" s="77">
        <f t="shared" si="45"/>
        <v>0</v>
      </c>
      <c r="P96" s="77">
        <f t="shared" si="45"/>
        <v>0</v>
      </c>
      <c r="Q96" s="81">
        <f>SUM(E96:P96)</f>
        <v>859816.93</v>
      </c>
      <c r="R96" s="82">
        <f>+Q96/(C96+D96)</f>
        <v>0.08967651499835942</v>
      </c>
      <c r="S96" s="81">
        <f t="shared" si="40"/>
        <v>8728166.39</v>
      </c>
      <c r="T96" s="82">
        <f t="shared" si="41"/>
        <v>0.9103234850016406</v>
      </c>
      <c r="U96" s="81">
        <f>+C96+D96-Q96</f>
        <v>8728166.39</v>
      </c>
      <c r="V96" s="82">
        <f aca="true" t="shared" si="46" ref="V96:V104">+U96/C96</f>
        <v>0.9103234850016406</v>
      </c>
      <c r="W96" s="3"/>
      <c r="X96" s="3"/>
      <c r="Y96" s="3"/>
      <c r="Z96" s="3"/>
      <c r="AA96" s="3"/>
      <c r="AB96" s="3"/>
      <c r="AC96" s="3"/>
    </row>
    <row r="97" spans="1:29" s="7" customFormat="1" ht="15">
      <c r="A97" s="136" t="s">
        <v>123</v>
      </c>
      <c r="B97" s="28" t="s">
        <v>206</v>
      </c>
      <c r="C97" s="47">
        <v>900000</v>
      </c>
      <c r="D97" s="48"/>
      <c r="E97" s="48">
        <v>645058.93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147">
        <f t="shared" si="39"/>
        <v>645058.93</v>
      </c>
      <c r="R97" s="148">
        <f>+Q97/C97</f>
        <v>0.7167321444444446</v>
      </c>
      <c r="S97" s="147">
        <f t="shared" si="40"/>
        <v>254941.06999999995</v>
      </c>
      <c r="T97" s="148">
        <f t="shared" si="41"/>
        <v>0.2832678555555555</v>
      </c>
      <c r="U97" s="147">
        <f aca="true" t="shared" si="47" ref="U97:U104">+C97-Q97</f>
        <v>254941.06999999995</v>
      </c>
      <c r="V97" s="148">
        <f t="shared" si="46"/>
        <v>0.2832678555555555</v>
      </c>
      <c r="W97" s="3"/>
      <c r="X97" s="3"/>
      <c r="Y97" s="3"/>
      <c r="Z97" s="3"/>
      <c r="AA97" s="3"/>
      <c r="AB97" s="3"/>
      <c r="AC97" s="3"/>
    </row>
    <row r="98" spans="1:29" s="7" customFormat="1" ht="33.75" customHeight="1">
      <c r="A98" s="92" t="s">
        <v>124</v>
      </c>
      <c r="B98" s="36" t="s">
        <v>205</v>
      </c>
      <c r="C98" s="47">
        <v>2400000</v>
      </c>
      <c r="D98" s="48"/>
      <c r="E98" s="48">
        <v>6742</v>
      </c>
      <c r="F98" s="47">
        <v>2034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147">
        <f t="shared" si="39"/>
        <v>8776</v>
      </c>
      <c r="R98" s="148">
        <f>+Q98/C98</f>
        <v>0.0036566666666666666</v>
      </c>
      <c r="S98" s="147">
        <f>+C98-Q98</f>
        <v>2391224</v>
      </c>
      <c r="T98" s="148">
        <f>+S98/C98</f>
        <v>0.9963433333333334</v>
      </c>
      <c r="U98" s="147">
        <f>+C98-Q98</f>
        <v>2391224</v>
      </c>
      <c r="V98" s="148">
        <f>+U98/C98</f>
        <v>0.9963433333333334</v>
      </c>
      <c r="W98" s="3"/>
      <c r="X98" s="3"/>
      <c r="Y98" s="3"/>
      <c r="Z98" s="3"/>
      <c r="AA98" s="3"/>
      <c r="AB98" s="3"/>
      <c r="AC98" s="3"/>
    </row>
    <row r="99" spans="1:29" s="7" customFormat="1" ht="15">
      <c r="A99" s="92" t="s">
        <v>151</v>
      </c>
      <c r="B99" s="36" t="s">
        <v>201</v>
      </c>
      <c r="C99" s="47">
        <v>840000</v>
      </c>
      <c r="D99" s="48"/>
      <c r="E99" s="48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147">
        <f t="shared" si="39"/>
        <v>0</v>
      </c>
      <c r="R99" s="148">
        <f aca="true" t="shared" si="48" ref="R99:R104">+Q99/C99</f>
        <v>0</v>
      </c>
      <c r="S99" s="147">
        <f t="shared" si="40"/>
        <v>840000</v>
      </c>
      <c r="T99" s="148">
        <f t="shared" si="41"/>
        <v>1</v>
      </c>
      <c r="U99" s="147">
        <f t="shared" si="47"/>
        <v>840000</v>
      </c>
      <c r="V99" s="148">
        <f t="shared" si="46"/>
        <v>1</v>
      </c>
      <c r="W99" s="3"/>
      <c r="X99" s="3"/>
      <c r="Y99" s="3"/>
      <c r="Z99" s="3"/>
      <c r="AA99" s="3"/>
      <c r="AB99" s="3"/>
      <c r="AC99" s="3"/>
    </row>
    <row r="100" spans="1:29" s="7" customFormat="1" ht="30">
      <c r="A100" s="92" t="s">
        <v>125</v>
      </c>
      <c r="B100" s="36" t="s">
        <v>277</v>
      </c>
      <c r="C100" s="47">
        <v>1920000</v>
      </c>
      <c r="D100" s="48"/>
      <c r="E100" s="48">
        <v>200000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147">
        <f t="shared" si="39"/>
        <v>200000</v>
      </c>
      <c r="R100" s="148">
        <f t="shared" si="48"/>
        <v>0.10416666666666667</v>
      </c>
      <c r="S100" s="147">
        <f t="shared" si="40"/>
        <v>1720000</v>
      </c>
      <c r="T100" s="148">
        <f t="shared" si="41"/>
        <v>0.8958333333333334</v>
      </c>
      <c r="U100" s="147">
        <f t="shared" si="47"/>
        <v>1720000</v>
      </c>
      <c r="V100" s="148">
        <f t="shared" si="46"/>
        <v>0.8958333333333334</v>
      </c>
      <c r="W100" s="3"/>
      <c r="X100" s="3"/>
      <c r="Y100" s="3"/>
      <c r="Z100" s="3"/>
      <c r="AA100" s="3"/>
      <c r="AB100" s="3"/>
      <c r="AC100" s="3"/>
    </row>
    <row r="101" spans="1:29" s="7" customFormat="1" ht="15">
      <c r="A101" s="92" t="s">
        <v>126</v>
      </c>
      <c r="B101" s="36" t="s">
        <v>278</v>
      </c>
      <c r="C101" s="47">
        <v>312000</v>
      </c>
      <c r="D101" s="48"/>
      <c r="E101" s="48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147">
        <f t="shared" si="39"/>
        <v>0</v>
      </c>
      <c r="R101" s="148">
        <f t="shared" si="48"/>
        <v>0</v>
      </c>
      <c r="S101" s="147">
        <f t="shared" si="40"/>
        <v>312000</v>
      </c>
      <c r="T101" s="148">
        <f t="shared" si="41"/>
        <v>1</v>
      </c>
      <c r="U101" s="147">
        <f t="shared" si="47"/>
        <v>312000</v>
      </c>
      <c r="V101" s="148">
        <f t="shared" si="46"/>
        <v>1</v>
      </c>
      <c r="W101" s="3"/>
      <c r="X101" s="3"/>
      <c r="Y101" s="3"/>
      <c r="Z101" s="3"/>
      <c r="AA101" s="3"/>
      <c r="AB101" s="3"/>
      <c r="AC101" s="3"/>
    </row>
    <row r="102" spans="1:29" s="7" customFormat="1" ht="15">
      <c r="A102" s="92" t="s">
        <v>127</v>
      </c>
      <c r="B102" s="36" t="s">
        <v>83</v>
      </c>
      <c r="C102" s="47">
        <v>1895983.32</v>
      </c>
      <c r="D102" s="48"/>
      <c r="E102" s="48">
        <v>3504</v>
      </c>
      <c r="F102" s="47">
        <v>2478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147">
        <f t="shared" si="39"/>
        <v>5982</v>
      </c>
      <c r="R102" s="148">
        <f t="shared" si="48"/>
        <v>0.00315509104795289</v>
      </c>
      <c r="S102" s="147">
        <f t="shared" si="40"/>
        <v>1890001.32</v>
      </c>
      <c r="T102" s="148">
        <f t="shared" si="41"/>
        <v>0.9968449089520471</v>
      </c>
      <c r="U102" s="147">
        <f t="shared" si="47"/>
        <v>1890001.32</v>
      </c>
      <c r="V102" s="148">
        <f t="shared" si="46"/>
        <v>0.9968449089520471</v>
      </c>
      <c r="W102" s="3"/>
      <c r="X102" s="3"/>
      <c r="Y102" s="3"/>
      <c r="Z102" s="3"/>
      <c r="AA102" s="3"/>
      <c r="AB102" s="3"/>
      <c r="AC102" s="3"/>
    </row>
    <row r="103" spans="1:29" s="7" customFormat="1" ht="15">
      <c r="A103" s="92" t="s">
        <v>152</v>
      </c>
      <c r="B103" s="36" t="s">
        <v>165</v>
      </c>
      <c r="C103" s="47">
        <v>420000</v>
      </c>
      <c r="D103" s="48"/>
      <c r="E103" s="48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147">
        <f t="shared" si="39"/>
        <v>0</v>
      </c>
      <c r="R103" s="148">
        <f t="shared" si="48"/>
        <v>0</v>
      </c>
      <c r="S103" s="147">
        <f t="shared" si="40"/>
        <v>420000</v>
      </c>
      <c r="T103" s="148">
        <f t="shared" si="41"/>
        <v>1</v>
      </c>
      <c r="U103" s="147">
        <f t="shared" si="47"/>
        <v>420000</v>
      </c>
      <c r="V103" s="148">
        <f t="shared" si="46"/>
        <v>1</v>
      </c>
      <c r="W103" s="3"/>
      <c r="X103" s="3"/>
      <c r="Y103" s="3"/>
      <c r="Z103" s="3"/>
      <c r="AA103" s="3"/>
      <c r="AB103" s="3"/>
      <c r="AC103" s="3"/>
    </row>
    <row r="104" spans="1:29" s="7" customFormat="1" ht="15">
      <c r="A104" s="136" t="s">
        <v>183</v>
      </c>
      <c r="B104" s="28" t="s">
        <v>184</v>
      </c>
      <c r="C104" s="47">
        <v>900000</v>
      </c>
      <c r="D104" s="48"/>
      <c r="E104" s="48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147">
        <f t="shared" si="39"/>
        <v>0</v>
      </c>
      <c r="R104" s="148">
        <f t="shared" si="48"/>
        <v>0</v>
      </c>
      <c r="S104" s="147">
        <f t="shared" si="40"/>
        <v>900000</v>
      </c>
      <c r="T104" s="148">
        <f t="shared" si="41"/>
        <v>1</v>
      </c>
      <c r="U104" s="147">
        <f t="shared" si="47"/>
        <v>900000</v>
      </c>
      <c r="V104" s="148">
        <f t="shared" si="46"/>
        <v>1</v>
      </c>
      <c r="W104" s="3"/>
      <c r="X104" s="3"/>
      <c r="Y104" s="3"/>
      <c r="Z104" s="3"/>
      <c r="AA104" s="3"/>
      <c r="AB104" s="3"/>
      <c r="AC104" s="3"/>
    </row>
    <row r="105" spans="1:29" s="7" customFormat="1" ht="15" hidden="1">
      <c r="A105" s="26" t="s">
        <v>84</v>
      </c>
      <c r="B105" s="6" t="s">
        <v>85</v>
      </c>
      <c r="C105" s="42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61"/>
      <c r="R105" s="61"/>
      <c r="S105" s="65"/>
      <c r="T105" s="65"/>
      <c r="U105" s="61"/>
      <c r="V105" s="61"/>
      <c r="W105" s="3"/>
      <c r="X105" s="3"/>
      <c r="Y105" s="3"/>
      <c r="Z105" s="3"/>
      <c r="AA105" s="3"/>
      <c r="AB105" s="3"/>
      <c r="AC105" s="3"/>
    </row>
    <row r="106" spans="1:22" s="3" customFormat="1" ht="15" hidden="1">
      <c r="A106" s="26" t="s">
        <v>86</v>
      </c>
      <c r="B106" s="6" t="s">
        <v>87</v>
      </c>
      <c r="C106" s="42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61"/>
      <c r="R106" s="61"/>
      <c r="S106" s="65"/>
      <c r="T106" s="65"/>
      <c r="U106" s="61"/>
      <c r="V106" s="61"/>
    </row>
    <row r="107" spans="1:22" s="3" customFormat="1" ht="15">
      <c r="A107" s="23" t="s">
        <v>88</v>
      </c>
      <c r="B107" s="8" t="s">
        <v>164</v>
      </c>
      <c r="C107" s="77">
        <f>+C109+C110+C111+C112+C113+C119+C120+C121</f>
        <v>5602000</v>
      </c>
      <c r="D107" s="77"/>
      <c r="E107" s="77">
        <f>+E109+E110+E111+E112+E113+E119+E120+E121</f>
        <v>666975</v>
      </c>
      <c r="F107" s="77">
        <f aca="true" t="shared" si="49" ref="F107:P107">+F109+F110+F112+F113+F119+F120+F121</f>
        <v>339225.45999999996</v>
      </c>
      <c r="G107" s="77">
        <f t="shared" si="49"/>
        <v>0</v>
      </c>
      <c r="H107" s="77">
        <f t="shared" si="49"/>
        <v>0</v>
      </c>
      <c r="I107" s="77">
        <f t="shared" si="49"/>
        <v>0</v>
      </c>
      <c r="J107" s="77">
        <f t="shared" si="49"/>
        <v>0</v>
      </c>
      <c r="K107" s="77">
        <f t="shared" si="49"/>
        <v>0</v>
      </c>
      <c r="L107" s="77">
        <f t="shared" si="49"/>
        <v>0</v>
      </c>
      <c r="M107" s="77">
        <f t="shared" si="49"/>
        <v>0</v>
      </c>
      <c r="N107" s="77">
        <f t="shared" si="49"/>
        <v>0</v>
      </c>
      <c r="O107" s="77">
        <f t="shared" si="49"/>
        <v>0</v>
      </c>
      <c r="P107" s="77">
        <f t="shared" si="49"/>
        <v>0</v>
      </c>
      <c r="Q107" s="81">
        <f>SUM(E107:P108)</f>
        <v>1006200.46</v>
      </c>
      <c r="R107" s="82">
        <f aca="true" t="shared" si="50" ref="R107:R118">+Q107/C107</f>
        <v>0.17961450553373795</v>
      </c>
      <c r="S107" s="81">
        <f aca="true" t="shared" si="51" ref="S107:S118">+C107-Q107</f>
        <v>4595799.54</v>
      </c>
      <c r="T107" s="82">
        <f aca="true" t="shared" si="52" ref="T107:T118">+S107/C107</f>
        <v>0.8203854944662621</v>
      </c>
      <c r="U107" s="81">
        <f>+C107+D107-Q107</f>
        <v>4595799.54</v>
      </c>
      <c r="V107" s="82">
        <f>+U107/C107</f>
        <v>0.8203854944662621</v>
      </c>
    </row>
    <row r="108" spans="1:22" s="3" customFormat="1" ht="15" hidden="1">
      <c r="A108" s="26" t="s">
        <v>89</v>
      </c>
      <c r="B108" s="6" t="s">
        <v>90</v>
      </c>
      <c r="C108" s="48">
        <f>2140000-300000-4000-600-210000-150000-1400000-30000-45400</f>
        <v>0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61">
        <f>SUM(D108:E108)</f>
        <v>0</v>
      </c>
      <c r="R108" s="54" t="e">
        <f t="shared" si="50"/>
        <v>#DIV/0!</v>
      </c>
      <c r="S108" s="55">
        <f t="shared" si="51"/>
        <v>0</v>
      </c>
      <c r="T108" s="56" t="e">
        <f t="shared" si="52"/>
        <v>#DIV/0!</v>
      </c>
      <c r="U108" s="61" t="e">
        <f>SUM(D108:T108)</f>
        <v>#DIV/0!</v>
      </c>
      <c r="V108" s="54" t="e">
        <f>+U108/#REF!</f>
        <v>#DIV/0!</v>
      </c>
    </row>
    <row r="109" spans="1:22" s="3" customFormat="1" ht="30">
      <c r="A109" s="92" t="s">
        <v>128</v>
      </c>
      <c r="B109" s="37" t="s">
        <v>91</v>
      </c>
      <c r="C109" s="47">
        <v>630000</v>
      </c>
      <c r="D109" s="48"/>
      <c r="E109" s="48">
        <v>200000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147">
        <f aca="true" t="shared" si="53" ref="Q109:Q134">SUM(E109:P109)</f>
        <v>200000</v>
      </c>
      <c r="R109" s="148">
        <f t="shared" si="50"/>
        <v>0.31746031746031744</v>
      </c>
      <c r="S109" s="147">
        <f t="shared" si="51"/>
        <v>430000</v>
      </c>
      <c r="T109" s="148">
        <f t="shared" si="52"/>
        <v>0.6825396825396826</v>
      </c>
      <c r="U109" s="147">
        <f aca="true" t="shared" si="54" ref="U109:U118">+C109-Q109</f>
        <v>430000</v>
      </c>
      <c r="V109" s="148">
        <f aca="true" t="shared" si="55" ref="V109:V118">+U109/C109</f>
        <v>0.6825396825396826</v>
      </c>
    </row>
    <row r="110" spans="1:22" s="3" customFormat="1" ht="30">
      <c r="A110" s="92" t="s">
        <v>168</v>
      </c>
      <c r="B110" s="36" t="s">
        <v>169</v>
      </c>
      <c r="C110" s="47">
        <v>804000</v>
      </c>
      <c r="D110" s="48"/>
      <c r="E110" s="48">
        <v>0</v>
      </c>
      <c r="F110" s="48">
        <v>154229.46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147">
        <f t="shared" si="53"/>
        <v>154229.46</v>
      </c>
      <c r="R110" s="148">
        <f t="shared" si="50"/>
        <v>0.19182768656716417</v>
      </c>
      <c r="S110" s="147">
        <f t="shared" si="51"/>
        <v>649770.54</v>
      </c>
      <c r="T110" s="148">
        <f t="shared" si="52"/>
        <v>0.8081723134328359</v>
      </c>
      <c r="U110" s="147">
        <f t="shared" si="54"/>
        <v>649770.54</v>
      </c>
      <c r="V110" s="148">
        <f t="shared" si="55"/>
        <v>0.8081723134328359</v>
      </c>
    </row>
    <row r="111" spans="1:22" s="3" customFormat="1" ht="15">
      <c r="A111" s="140" t="s">
        <v>160</v>
      </c>
      <c r="B111" s="36" t="s">
        <v>161</v>
      </c>
      <c r="C111" s="47">
        <v>250000</v>
      </c>
      <c r="D111" s="48"/>
      <c r="E111" s="48">
        <v>250000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147">
        <f t="shared" si="53"/>
        <v>250000</v>
      </c>
      <c r="R111" s="148">
        <f>+Q111/C111</f>
        <v>1</v>
      </c>
      <c r="S111" s="147">
        <f>+C111-Q111</f>
        <v>0</v>
      </c>
      <c r="T111" s="148">
        <f>+S111/C111</f>
        <v>0</v>
      </c>
      <c r="U111" s="147">
        <f>+C111-Q111</f>
        <v>0</v>
      </c>
      <c r="V111" s="148">
        <f>+U111/C111</f>
        <v>0</v>
      </c>
    </row>
    <row r="112" spans="1:22" s="3" customFormat="1" ht="15">
      <c r="A112" s="52" t="s">
        <v>129</v>
      </c>
      <c r="B112" s="6" t="s">
        <v>171</v>
      </c>
      <c r="C112" s="47">
        <v>1710000</v>
      </c>
      <c r="D112" s="48"/>
      <c r="E112" s="48">
        <v>113000</v>
      </c>
      <c r="F112" s="48">
        <v>25121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147">
        <f t="shared" si="53"/>
        <v>138121</v>
      </c>
      <c r="R112" s="148">
        <f t="shared" si="50"/>
        <v>0.08077251461988304</v>
      </c>
      <c r="S112" s="147">
        <f t="shared" si="51"/>
        <v>1571879</v>
      </c>
      <c r="T112" s="148">
        <f t="shared" si="52"/>
        <v>0.919227485380117</v>
      </c>
      <c r="U112" s="147">
        <f>+C112-Q112</f>
        <v>1571879</v>
      </c>
      <c r="V112" s="148">
        <f t="shared" si="55"/>
        <v>0.919227485380117</v>
      </c>
    </row>
    <row r="113" spans="1:22" s="3" customFormat="1" ht="30">
      <c r="A113" s="91" t="s">
        <v>207</v>
      </c>
      <c r="B113" s="14" t="s">
        <v>208</v>
      </c>
      <c r="C113" s="47">
        <v>840000</v>
      </c>
      <c r="D113" s="48"/>
      <c r="E113" s="48">
        <v>0</v>
      </c>
      <c r="F113" s="48">
        <v>113000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147">
        <f t="shared" si="53"/>
        <v>113000</v>
      </c>
      <c r="R113" s="148">
        <f t="shared" si="50"/>
        <v>0.13452380952380952</v>
      </c>
      <c r="S113" s="147">
        <f t="shared" si="51"/>
        <v>727000</v>
      </c>
      <c r="T113" s="148">
        <f t="shared" si="52"/>
        <v>0.8654761904761905</v>
      </c>
      <c r="U113" s="147">
        <f t="shared" si="54"/>
        <v>727000</v>
      </c>
      <c r="V113" s="148">
        <f t="shared" si="55"/>
        <v>0.8654761904761905</v>
      </c>
    </row>
    <row r="114" spans="1:22" s="3" customFormat="1" ht="30" hidden="1">
      <c r="A114" s="91" t="s">
        <v>158</v>
      </c>
      <c r="B114" s="14" t="s">
        <v>157</v>
      </c>
      <c r="C114" s="47">
        <f>+D114*12</f>
        <v>0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147">
        <f t="shared" si="53"/>
        <v>0</v>
      </c>
      <c r="R114" s="148" t="e">
        <f t="shared" si="50"/>
        <v>#DIV/0!</v>
      </c>
      <c r="S114" s="147">
        <f t="shared" si="51"/>
        <v>0</v>
      </c>
      <c r="T114" s="148" t="e">
        <f t="shared" si="52"/>
        <v>#DIV/0!</v>
      </c>
      <c r="U114" s="147">
        <f t="shared" si="54"/>
        <v>0</v>
      </c>
      <c r="V114" s="148" t="e">
        <f t="shared" si="55"/>
        <v>#DIV/0!</v>
      </c>
    </row>
    <row r="115" spans="1:22" s="3" customFormat="1" ht="15" hidden="1">
      <c r="A115" s="91" t="s">
        <v>196</v>
      </c>
      <c r="B115" s="67" t="s">
        <v>197</v>
      </c>
      <c r="C115" s="47">
        <f>+D115*12</f>
        <v>0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147">
        <f t="shared" si="53"/>
        <v>0</v>
      </c>
      <c r="R115" s="148" t="e">
        <f t="shared" si="50"/>
        <v>#DIV/0!</v>
      </c>
      <c r="S115" s="147">
        <f t="shared" si="51"/>
        <v>0</v>
      </c>
      <c r="T115" s="148" t="e">
        <f t="shared" si="52"/>
        <v>#DIV/0!</v>
      </c>
      <c r="U115" s="147">
        <f t="shared" si="54"/>
        <v>0</v>
      </c>
      <c r="V115" s="148" t="e">
        <f t="shared" si="55"/>
        <v>#DIV/0!</v>
      </c>
    </row>
    <row r="116" spans="1:29" s="3" customFormat="1" ht="30" hidden="1">
      <c r="A116" s="91" t="s">
        <v>176</v>
      </c>
      <c r="B116" s="41" t="s">
        <v>279</v>
      </c>
      <c r="C116" s="47">
        <f>+D116*12</f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147">
        <f t="shared" si="53"/>
        <v>0</v>
      </c>
      <c r="R116" s="148" t="e">
        <f t="shared" si="50"/>
        <v>#DIV/0!</v>
      </c>
      <c r="S116" s="147">
        <f t="shared" si="51"/>
        <v>0</v>
      </c>
      <c r="T116" s="148" t="e">
        <f t="shared" si="52"/>
        <v>#DIV/0!</v>
      </c>
      <c r="U116" s="147">
        <f t="shared" si="54"/>
        <v>0</v>
      </c>
      <c r="V116" s="148" t="e">
        <f t="shared" si="55"/>
        <v>#DIV/0!</v>
      </c>
      <c r="W116" s="4"/>
      <c r="X116" s="4"/>
      <c r="Y116" s="4"/>
      <c r="Z116" s="4"/>
      <c r="AA116" s="4"/>
      <c r="AB116" s="4"/>
      <c r="AC116" s="4"/>
    </row>
    <row r="117" spans="1:29" s="3" customFormat="1" ht="15" hidden="1">
      <c r="A117" s="26"/>
      <c r="B117" s="6"/>
      <c r="C117" s="42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147">
        <f t="shared" si="53"/>
        <v>0</v>
      </c>
      <c r="R117" s="148" t="e">
        <f t="shared" si="50"/>
        <v>#DIV/0!</v>
      </c>
      <c r="S117" s="147">
        <f t="shared" si="51"/>
        <v>0</v>
      </c>
      <c r="T117" s="148" t="e">
        <f t="shared" si="52"/>
        <v>#DIV/0!</v>
      </c>
      <c r="U117" s="147">
        <f t="shared" si="54"/>
        <v>0</v>
      </c>
      <c r="V117" s="148" t="e">
        <f t="shared" si="55"/>
        <v>#DIV/0!</v>
      </c>
      <c r="W117" s="4"/>
      <c r="X117" s="4"/>
      <c r="Y117" s="4"/>
      <c r="Z117" s="4"/>
      <c r="AA117" s="4"/>
      <c r="AB117" s="4"/>
      <c r="AC117" s="4"/>
    </row>
    <row r="118" spans="1:29" s="3" customFormat="1" ht="15" hidden="1">
      <c r="A118" s="26"/>
      <c r="B118" s="14"/>
      <c r="C118" s="42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147">
        <f t="shared" si="53"/>
        <v>0</v>
      </c>
      <c r="R118" s="148" t="e">
        <f t="shared" si="50"/>
        <v>#DIV/0!</v>
      </c>
      <c r="S118" s="147">
        <f t="shared" si="51"/>
        <v>0</v>
      </c>
      <c r="T118" s="148" t="e">
        <f t="shared" si="52"/>
        <v>#DIV/0!</v>
      </c>
      <c r="U118" s="147">
        <f t="shared" si="54"/>
        <v>0</v>
      </c>
      <c r="V118" s="148" t="e">
        <f t="shared" si="55"/>
        <v>#DIV/0!</v>
      </c>
      <c r="W118" s="4"/>
      <c r="X118" s="4"/>
      <c r="Y118" s="4"/>
      <c r="Z118" s="4"/>
      <c r="AA118" s="4"/>
      <c r="AB118" s="4"/>
      <c r="AC118" s="4"/>
    </row>
    <row r="119" spans="1:29" s="3" customFormat="1" ht="30">
      <c r="A119" s="91" t="s">
        <v>158</v>
      </c>
      <c r="B119" s="14" t="s">
        <v>157</v>
      </c>
      <c r="C119" s="47">
        <v>900000</v>
      </c>
      <c r="D119" s="48"/>
      <c r="E119" s="48">
        <v>0</v>
      </c>
      <c r="F119" s="48">
        <v>18000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147">
        <f t="shared" si="53"/>
        <v>18000</v>
      </c>
      <c r="R119" s="148">
        <f>+Q119/C119</f>
        <v>0.02</v>
      </c>
      <c r="S119" s="147">
        <f aca="true" t="shared" si="56" ref="S119:S136">+C119-Q119</f>
        <v>882000</v>
      </c>
      <c r="T119" s="148">
        <f aca="true" t="shared" si="57" ref="T119:T137">+S119/C119</f>
        <v>0.98</v>
      </c>
      <c r="U119" s="147">
        <f>+C119-Q119</f>
        <v>882000</v>
      </c>
      <c r="V119" s="148">
        <f>+U119/C119</f>
        <v>0.98</v>
      </c>
      <c r="W119" s="4"/>
      <c r="X119" s="4"/>
      <c r="Y119" s="4"/>
      <c r="Z119" s="4"/>
      <c r="AA119" s="4"/>
      <c r="AB119" s="4"/>
      <c r="AC119" s="4"/>
    </row>
    <row r="120" spans="1:29" s="3" customFormat="1" ht="15">
      <c r="A120" s="91" t="s">
        <v>196</v>
      </c>
      <c r="B120" s="67" t="s">
        <v>197</v>
      </c>
      <c r="C120" s="47">
        <v>120000</v>
      </c>
      <c r="D120" s="48"/>
      <c r="E120" s="48">
        <v>75000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147">
        <f t="shared" si="53"/>
        <v>75000</v>
      </c>
      <c r="R120" s="148">
        <f>+Q120/C120</f>
        <v>0.625</v>
      </c>
      <c r="S120" s="147">
        <f t="shared" si="56"/>
        <v>45000</v>
      </c>
      <c r="T120" s="148">
        <f t="shared" si="57"/>
        <v>0.375</v>
      </c>
      <c r="U120" s="147">
        <f>+C120-Q120</f>
        <v>45000</v>
      </c>
      <c r="V120" s="148">
        <f>+U120/C120</f>
        <v>0.375</v>
      </c>
      <c r="W120" s="4"/>
      <c r="X120" s="4"/>
      <c r="Y120" s="4"/>
      <c r="Z120" s="4"/>
      <c r="AA120" s="4"/>
      <c r="AB120" s="4"/>
      <c r="AC120" s="4"/>
    </row>
    <row r="121" spans="1:29" s="3" customFormat="1" ht="30">
      <c r="A121" s="91" t="s">
        <v>176</v>
      </c>
      <c r="B121" s="41" t="s">
        <v>279</v>
      </c>
      <c r="C121" s="47">
        <v>348000</v>
      </c>
      <c r="D121" s="48"/>
      <c r="E121" s="48">
        <v>28975</v>
      </c>
      <c r="F121" s="48">
        <v>28875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147">
        <f t="shared" si="53"/>
        <v>57850</v>
      </c>
      <c r="R121" s="148">
        <f>+Q121/C121</f>
        <v>0.16623563218390805</v>
      </c>
      <c r="S121" s="147">
        <f t="shared" si="56"/>
        <v>290150</v>
      </c>
      <c r="T121" s="148">
        <f t="shared" si="57"/>
        <v>0.833764367816092</v>
      </c>
      <c r="U121" s="147">
        <f>+C121-Q121</f>
        <v>290150</v>
      </c>
      <c r="V121" s="148">
        <f>+U121/C121</f>
        <v>0.833764367816092</v>
      </c>
      <c r="W121" s="4"/>
      <c r="X121" s="4"/>
      <c r="Y121" s="4"/>
      <c r="Z121" s="4"/>
      <c r="AA121" s="4"/>
      <c r="AB121" s="4"/>
      <c r="AC121" s="4"/>
    </row>
    <row r="122" spans="1:29" s="3" customFormat="1" ht="15">
      <c r="A122" s="23" t="s">
        <v>92</v>
      </c>
      <c r="B122" s="8" t="s">
        <v>93</v>
      </c>
      <c r="C122" s="77">
        <f>+C123+C124+C125+C126</f>
        <v>5710800</v>
      </c>
      <c r="D122" s="77"/>
      <c r="E122" s="77">
        <f aca="true" t="shared" si="58" ref="E122:P122">+E123+E124+E125+E126</f>
        <v>0</v>
      </c>
      <c r="F122" s="77">
        <f t="shared" si="58"/>
        <v>1185851.62</v>
      </c>
      <c r="G122" s="77">
        <f t="shared" si="58"/>
        <v>0</v>
      </c>
      <c r="H122" s="77">
        <f t="shared" si="58"/>
        <v>0</v>
      </c>
      <c r="I122" s="77">
        <f t="shared" si="58"/>
        <v>0</v>
      </c>
      <c r="J122" s="77">
        <f t="shared" si="58"/>
        <v>0</v>
      </c>
      <c r="K122" s="77">
        <f t="shared" si="58"/>
        <v>0</v>
      </c>
      <c r="L122" s="77">
        <f t="shared" si="58"/>
        <v>0</v>
      </c>
      <c r="M122" s="77">
        <f t="shared" si="58"/>
        <v>0</v>
      </c>
      <c r="N122" s="77">
        <f t="shared" si="58"/>
        <v>0</v>
      </c>
      <c r="O122" s="77">
        <f t="shared" si="58"/>
        <v>0</v>
      </c>
      <c r="P122" s="77">
        <f t="shared" si="58"/>
        <v>0</v>
      </c>
      <c r="Q122" s="81">
        <f>SUM(E122:P122)</f>
        <v>1185851.62</v>
      </c>
      <c r="R122" s="82">
        <f>+Q122/(C122+D122)</f>
        <v>0.20765070042726064</v>
      </c>
      <c r="S122" s="81">
        <f t="shared" si="56"/>
        <v>4524948.38</v>
      </c>
      <c r="T122" s="82">
        <f t="shared" si="57"/>
        <v>0.7923492995727394</v>
      </c>
      <c r="U122" s="81">
        <f>+C122+D122-Q122</f>
        <v>4524948.38</v>
      </c>
      <c r="V122" s="82">
        <f>+U122/C122</f>
        <v>0.7923492995727394</v>
      </c>
      <c r="W122" s="4"/>
      <c r="X122" s="4"/>
      <c r="Y122" s="4"/>
      <c r="Z122" s="4"/>
      <c r="AA122" s="4"/>
      <c r="AB122" s="4"/>
      <c r="AC122" s="4"/>
    </row>
    <row r="123" spans="1:22" s="10" customFormat="1" ht="15">
      <c r="A123" s="136" t="s">
        <v>130</v>
      </c>
      <c r="B123" s="28" t="s">
        <v>193</v>
      </c>
      <c r="C123" s="47">
        <v>1200000</v>
      </c>
      <c r="D123" s="48"/>
      <c r="E123" s="48">
        <v>0</v>
      </c>
      <c r="F123" s="47">
        <v>1182852.06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147">
        <f t="shared" si="53"/>
        <v>1182852.06</v>
      </c>
      <c r="R123" s="148">
        <f aca="true" t="shared" si="59" ref="R123:R137">+Q123/C123</f>
        <v>0.98571005</v>
      </c>
      <c r="S123" s="147">
        <f t="shared" si="56"/>
        <v>17147.939999999944</v>
      </c>
      <c r="T123" s="148">
        <f t="shared" si="57"/>
        <v>0.014289949999999954</v>
      </c>
      <c r="U123" s="147">
        <f>+C123-Q123</f>
        <v>17147.939999999944</v>
      </c>
      <c r="V123" s="148">
        <f aca="true" t="shared" si="60" ref="V123:V137">+U123/C123</f>
        <v>0.014289949999999954</v>
      </c>
    </row>
    <row r="124" spans="1:22" s="10" customFormat="1" ht="15">
      <c r="A124" s="92" t="s">
        <v>280</v>
      </c>
      <c r="B124" s="36" t="s">
        <v>281</v>
      </c>
      <c r="C124" s="47">
        <v>1000800</v>
      </c>
      <c r="D124" s="48"/>
      <c r="E124" s="48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147">
        <f t="shared" si="53"/>
        <v>0</v>
      </c>
      <c r="R124" s="148">
        <f t="shared" si="59"/>
        <v>0</v>
      </c>
      <c r="S124" s="147">
        <f t="shared" si="56"/>
        <v>1000800</v>
      </c>
      <c r="T124" s="148">
        <f t="shared" si="57"/>
        <v>1</v>
      </c>
      <c r="U124" s="147">
        <f>+C124-Q124</f>
        <v>1000800</v>
      </c>
      <c r="V124" s="148">
        <f t="shared" si="60"/>
        <v>1</v>
      </c>
    </row>
    <row r="125" spans="1:22" s="10" customFormat="1" ht="30">
      <c r="A125" s="92" t="s">
        <v>142</v>
      </c>
      <c r="B125" s="36" t="s">
        <v>177</v>
      </c>
      <c r="C125" s="47">
        <v>2160000</v>
      </c>
      <c r="D125" s="48"/>
      <c r="E125" s="48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147">
        <f t="shared" si="53"/>
        <v>0</v>
      </c>
      <c r="R125" s="148">
        <f t="shared" si="59"/>
        <v>0</v>
      </c>
      <c r="S125" s="147">
        <f t="shared" si="56"/>
        <v>2160000</v>
      </c>
      <c r="T125" s="148">
        <f t="shared" si="57"/>
        <v>1</v>
      </c>
      <c r="U125" s="147">
        <f>+C125-Q125</f>
        <v>2160000</v>
      </c>
      <c r="V125" s="148">
        <f t="shared" si="60"/>
        <v>1</v>
      </c>
    </row>
    <row r="126" spans="1:22" s="15" customFormat="1" ht="15">
      <c r="A126" s="91" t="s">
        <v>140</v>
      </c>
      <c r="B126" s="67" t="s">
        <v>282</v>
      </c>
      <c r="C126" s="47">
        <v>1350000</v>
      </c>
      <c r="D126" s="48"/>
      <c r="E126" s="48">
        <v>0</v>
      </c>
      <c r="F126" s="47">
        <v>2999.56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147">
        <f t="shared" si="53"/>
        <v>2999.56</v>
      </c>
      <c r="R126" s="148">
        <f t="shared" si="59"/>
        <v>0.002221896296296296</v>
      </c>
      <c r="S126" s="147">
        <f t="shared" si="56"/>
        <v>1347000.44</v>
      </c>
      <c r="T126" s="148">
        <f t="shared" si="57"/>
        <v>0.9977781037037037</v>
      </c>
      <c r="U126" s="147">
        <f>+C126-Q126</f>
        <v>1347000.44</v>
      </c>
      <c r="V126" s="148">
        <f t="shared" si="60"/>
        <v>0.9977781037037037</v>
      </c>
    </row>
    <row r="127" spans="1:22" s="15" customFormat="1" ht="15">
      <c r="A127" s="23" t="s">
        <v>283</v>
      </c>
      <c r="B127" s="23" t="s">
        <v>284</v>
      </c>
      <c r="C127" s="77">
        <f>+C128</f>
        <v>1400000</v>
      </c>
      <c r="D127" s="77"/>
      <c r="E127" s="77">
        <f aca="true" t="shared" si="61" ref="E127:P127">+E128</f>
        <v>0</v>
      </c>
      <c r="F127" s="77">
        <f t="shared" si="61"/>
        <v>0</v>
      </c>
      <c r="G127" s="77">
        <f t="shared" si="61"/>
        <v>0</v>
      </c>
      <c r="H127" s="77">
        <f t="shared" si="61"/>
        <v>0</v>
      </c>
      <c r="I127" s="77">
        <f t="shared" si="61"/>
        <v>0</v>
      </c>
      <c r="J127" s="77">
        <f t="shared" si="61"/>
        <v>0</v>
      </c>
      <c r="K127" s="77">
        <f t="shared" si="61"/>
        <v>0</v>
      </c>
      <c r="L127" s="77">
        <f t="shared" si="61"/>
        <v>0</v>
      </c>
      <c r="M127" s="77">
        <f t="shared" si="61"/>
        <v>0</v>
      </c>
      <c r="N127" s="77">
        <f t="shared" si="61"/>
        <v>0</v>
      </c>
      <c r="O127" s="77">
        <f t="shared" si="61"/>
        <v>0</v>
      </c>
      <c r="P127" s="77">
        <f t="shared" si="61"/>
        <v>0</v>
      </c>
      <c r="Q127" s="81">
        <f>SUM(E127:P127)</f>
        <v>0</v>
      </c>
      <c r="R127" s="82">
        <f t="shared" si="59"/>
        <v>0</v>
      </c>
      <c r="S127" s="81">
        <f t="shared" si="56"/>
        <v>1400000</v>
      </c>
      <c r="T127" s="82">
        <f t="shared" si="57"/>
        <v>1</v>
      </c>
      <c r="U127" s="81">
        <f>+U128</f>
        <v>1400000</v>
      </c>
      <c r="V127" s="83">
        <f t="shared" si="60"/>
        <v>1</v>
      </c>
    </row>
    <row r="128" spans="1:22" s="15" customFormat="1" ht="15">
      <c r="A128" s="138" t="s">
        <v>144</v>
      </c>
      <c r="B128" s="28" t="s">
        <v>143</v>
      </c>
      <c r="C128" s="42">
        <f>2400000-1000000</f>
        <v>1400000</v>
      </c>
      <c r="D128" s="48"/>
      <c r="E128" s="48">
        <v>0</v>
      </c>
      <c r="F128" s="47">
        <v>0</v>
      </c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147">
        <f t="shared" si="53"/>
        <v>0</v>
      </c>
      <c r="R128" s="148">
        <f t="shared" si="59"/>
        <v>0</v>
      </c>
      <c r="S128" s="147">
        <f t="shared" si="56"/>
        <v>1400000</v>
      </c>
      <c r="T128" s="148">
        <f t="shared" si="57"/>
        <v>1</v>
      </c>
      <c r="U128" s="147">
        <f>+C128-Q128</f>
        <v>1400000</v>
      </c>
      <c r="V128" s="148">
        <f t="shared" si="60"/>
        <v>1</v>
      </c>
    </row>
    <row r="129" spans="1:22" s="15" customFormat="1" ht="15">
      <c r="A129" s="23" t="s">
        <v>285</v>
      </c>
      <c r="B129" s="23" t="s">
        <v>286</v>
      </c>
      <c r="C129" s="77">
        <f>+C130</f>
        <v>603067.44</v>
      </c>
      <c r="D129" s="77"/>
      <c r="E129" s="77">
        <f aca="true" t="shared" si="62" ref="E129:P129">+E130</f>
        <v>0</v>
      </c>
      <c r="F129" s="77">
        <f t="shared" si="62"/>
        <v>0</v>
      </c>
      <c r="G129" s="77">
        <f t="shared" si="62"/>
        <v>0</v>
      </c>
      <c r="H129" s="77">
        <f t="shared" si="62"/>
        <v>0</v>
      </c>
      <c r="I129" s="77">
        <f t="shared" si="62"/>
        <v>0</v>
      </c>
      <c r="J129" s="77">
        <f t="shared" si="62"/>
        <v>0</v>
      </c>
      <c r="K129" s="77">
        <f t="shared" si="62"/>
        <v>0</v>
      </c>
      <c r="L129" s="77">
        <f t="shared" si="62"/>
        <v>0</v>
      </c>
      <c r="M129" s="77">
        <f t="shared" si="62"/>
        <v>0</v>
      </c>
      <c r="N129" s="77">
        <f t="shared" si="62"/>
        <v>0</v>
      </c>
      <c r="O129" s="77">
        <f t="shared" si="62"/>
        <v>0</v>
      </c>
      <c r="P129" s="77">
        <f t="shared" si="62"/>
        <v>0</v>
      </c>
      <c r="Q129" s="81">
        <f>SUM(E129:P129)</f>
        <v>0</v>
      </c>
      <c r="R129" s="82">
        <f t="shared" si="59"/>
        <v>0</v>
      </c>
      <c r="S129" s="81">
        <f t="shared" si="56"/>
        <v>603067.44</v>
      </c>
      <c r="T129" s="82">
        <f t="shared" si="57"/>
        <v>1</v>
      </c>
      <c r="U129" s="81">
        <f>+U130</f>
        <v>603067.44</v>
      </c>
      <c r="V129" s="83">
        <f t="shared" si="60"/>
        <v>1</v>
      </c>
    </row>
    <row r="130" spans="1:22" s="15" customFormat="1" ht="15">
      <c r="A130" s="138" t="s">
        <v>134</v>
      </c>
      <c r="B130" s="28" t="s">
        <v>135</v>
      </c>
      <c r="C130" s="42">
        <v>603067.44</v>
      </c>
      <c r="D130" s="48"/>
      <c r="E130" s="48">
        <v>0</v>
      </c>
      <c r="F130" s="47">
        <v>0</v>
      </c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147">
        <f t="shared" si="53"/>
        <v>0</v>
      </c>
      <c r="R130" s="148">
        <f t="shared" si="59"/>
        <v>0</v>
      </c>
      <c r="S130" s="147">
        <f t="shared" si="56"/>
        <v>603067.44</v>
      </c>
      <c r="T130" s="148">
        <f t="shared" si="57"/>
        <v>1</v>
      </c>
      <c r="U130" s="147">
        <f>+C130-Q130</f>
        <v>603067.44</v>
      </c>
      <c r="V130" s="148">
        <f t="shared" si="60"/>
        <v>1</v>
      </c>
    </row>
    <row r="131" spans="1:22" s="15" customFormat="1" ht="15">
      <c r="A131" s="23" t="s">
        <v>297</v>
      </c>
      <c r="B131" s="23" t="s">
        <v>298</v>
      </c>
      <c r="C131" s="77">
        <f>+C132</f>
        <v>150000</v>
      </c>
      <c r="D131" s="77"/>
      <c r="E131" s="77">
        <f aca="true" t="shared" si="63" ref="E131:P131">+E132</f>
        <v>97066.25</v>
      </c>
      <c r="F131" s="77">
        <v>0</v>
      </c>
      <c r="G131" s="77">
        <f t="shared" si="63"/>
        <v>0</v>
      </c>
      <c r="H131" s="77">
        <f t="shared" si="63"/>
        <v>0</v>
      </c>
      <c r="I131" s="77">
        <f t="shared" si="63"/>
        <v>0</v>
      </c>
      <c r="J131" s="77">
        <f t="shared" si="63"/>
        <v>0</v>
      </c>
      <c r="K131" s="77">
        <f t="shared" si="63"/>
        <v>0</v>
      </c>
      <c r="L131" s="77">
        <f t="shared" si="63"/>
        <v>0</v>
      </c>
      <c r="M131" s="77">
        <f t="shared" si="63"/>
        <v>0</v>
      </c>
      <c r="N131" s="77">
        <f t="shared" si="63"/>
        <v>0</v>
      </c>
      <c r="O131" s="77">
        <f t="shared" si="63"/>
        <v>0</v>
      </c>
      <c r="P131" s="77">
        <f t="shared" si="63"/>
        <v>0</v>
      </c>
      <c r="Q131" s="81">
        <f>SUM(E131:P131)</f>
        <v>97066.25</v>
      </c>
      <c r="R131" s="82">
        <f>+Q131/C131</f>
        <v>0.6471083333333333</v>
      </c>
      <c r="S131" s="81">
        <f>+C131-Q131</f>
        <v>52933.75</v>
      </c>
      <c r="T131" s="82">
        <f>+S131/C131</f>
        <v>0.35289166666666666</v>
      </c>
      <c r="U131" s="81">
        <f>+U132</f>
        <v>52933.75</v>
      </c>
      <c r="V131" s="83">
        <f>+U131/C131</f>
        <v>0.35289166666666666</v>
      </c>
    </row>
    <row r="132" spans="1:22" s="15" customFormat="1" ht="15">
      <c r="A132" s="138" t="s">
        <v>198</v>
      </c>
      <c r="B132" s="28" t="s">
        <v>199</v>
      </c>
      <c r="C132" s="42">
        <v>150000</v>
      </c>
      <c r="D132" s="48"/>
      <c r="E132" s="48">
        <v>97066.25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147">
        <f t="shared" si="53"/>
        <v>97066.25</v>
      </c>
      <c r="R132" s="148">
        <f t="shared" si="59"/>
        <v>0.6471083333333333</v>
      </c>
      <c r="S132" s="147">
        <f t="shared" si="56"/>
        <v>52933.75</v>
      </c>
      <c r="T132" s="148">
        <f t="shared" si="57"/>
        <v>0.35289166666666666</v>
      </c>
      <c r="U132" s="147">
        <f>+C132-Q132</f>
        <v>52933.75</v>
      </c>
      <c r="V132" s="148">
        <f t="shared" si="60"/>
        <v>0.35289166666666666</v>
      </c>
    </row>
    <row r="133" spans="1:22" s="15" customFormat="1" ht="15">
      <c r="A133" s="23" t="s">
        <v>159</v>
      </c>
      <c r="B133" s="23" t="s">
        <v>180</v>
      </c>
      <c r="C133" s="77">
        <f>+C134</f>
        <v>4212000</v>
      </c>
      <c r="D133" s="77"/>
      <c r="E133" s="77">
        <f aca="true" t="shared" si="64" ref="E133:P133">+E134</f>
        <v>0</v>
      </c>
      <c r="F133" s="77">
        <f t="shared" si="64"/>
        <v>0</v>
      </c>
      <c r="G133" s="77">
        <f t="shared" si="64"/>
        <v>0</v>
      </c>
      <c r="H133" s="77">
        <f t="shared" si="64"/>
        <v>0</v>
      </c>
      <c r="I133" s="77">
        <f t="shared" si="64"/>
        <v>0</v>
      </c>
      <c r="J133" s="77">
        <f t="shared" si="64"/>
        <v>0</v>
      </c>
      <c r="K133" s="77">
        <f t="shared" si="64"/>
        <v>0</v>
      </c>
      <c r="L133" s="77">
        <f t="shared" si="64"/>
        <v>0</v>
      </c>
      <c r="M133" s="77">
        <f t="shared" si="64"/>
        <v>0</v>
      </c>
      <c r="N133" s="77">
        <f t="shared" si="64"/>
        <v>0</v>
      </c>
      <c r="O133" s="77">
        <f t="shared" si="64"/>
        <v>0</v>
      </c>
      <c r="P133" s="77">
        <f t="shared" si="64"/>
        <v>0</v>
      </c>
      <c r="Q133" s="81">
        <f>SUM(E133:P133)</f>
        <v>0</v>
      </c>
      <c r="R133" s="82">
        <f t="shared" si="59"/>
        <v>0</v>
      </c>
      <c r="S133" s="81">
        <f t="shared" si="56"/>
        <v>4212000</v>
      </c>
      <c r="T133" s="82">
        <f t="shared" si="57"/>
        <v>1</v>
      </c>
      <c r="U133" s="81">
        <f>+U134</f>
        <v>4212000</v>
      </c>
      <c r="V133" s="83">
        <f t="shared" si="60"/>
        <v>1</v>
      </c>
    </row>
    <row r="134" spans="1:22" s="15" customFormat="1" ht="15">
      <c r="A134" s="138" t="s">
        <v>145</v>
      </c>
      <c r="B134" s="28" t="s">
        <v>146</v>
      </c>
      <c r="C134" s="42">
        <f>15000000-2710000-250000-3850000-80000-200000-1400000-108000-2190000</f>
        <v>4212000</v>
      </c>
      <c r="D134" s="48"/>
      <c r="E134" s="48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147">
        <f t="shared" si="53"/>
        <v>0</v>
      </c>
      <c r="R134" s="148">
        <f t="shared" si="59"/>
        <v>0</v>
      </c>
      <c r="S134" s="147">
        <f t="shared" si="56"/>
        <v>4212000</v>
      </c>
      <c r="T134" s="148">
        <f t="shared" si="57"/>
        <v>1</v>
      </c>
      <c r="U134" s="147">
        <f>+C134-Q134</f>
        <v>4212000</v>
      </c>
      <c r="V134" s="148">
        <f t="shared" si="60"/>
        <v>1</v>
      </c>
    </row>
    <row r="135" spans="1:22" s="15" customFormat="1" ht="15">
      <c r="A135" s="23" t="s">
        <v>178</v>
      </c>
      <c r="B135" s="8" t="s">
        <v>179</v>
      </c>
      <c r="C135" s="77">
        <f>+C136</f>
        <v>2004000</v>
      </c>
      <c r="D135" s="77"/>
      <c r="E135" s="77">
        <f aca="true" t="shared" si="65" ref="E135:P135">+E136</f>
        <v>160000</v>
      </c>
      <c r="F135" s="77">
        <f t="shared" si="65"/>
        <v>160000</v>
      </c>
      <c r="G135" s="77">
        <f t="shared" si="65"/>
        <v>0</v>
      </c>
      <c r="H135" s="77">
        <f t="shared" si="65"/>
        <v>0</v>
      </c>
      <c r="I135" s="77">
        <f t="shared" si="65"/>
        <v>0</v>
      </c>
      <c r="J135" s="77">
        <f t="shared" si="65"/>
        <v>0</v>
      </c>
      <c r="K135" s="77">
        <f t="shared" si="65"/>
        <v>0</v>
      </c>
      <c r="L135" s="77">
        <f t="shared" si="65"/>
        <v>0</v>
      </c>
      <c r="M135" s="77">
        <f t="shared" si="65"/>
        <v>0</v>
      </c>
      <c r="N135" s="77">
        <f t="shared" si="65"/>
        <v>0</v>
      </c>
      <c r="O135" s="77">
        <f t="shared" si="65"/>
        <v>0</v>
      </c>
      <c r="P135" s="77">
        <f t="shared" si="65"/>
        <v>0</v>
      </c>
      <c r="Q135" s="81">
        <f>SUM(E135:P135)</f>
        <v>320000</v>
      </c>
      <c r="R135" s="82">
        <f t="shared" si="59"/>
        <v>0.1596806387225549</v>
      </c>
      <c r="S135" s="81">
        <f t="shared" si="56"/>
        <v>1684000</v>
      </c>
      <c r="T135" s="82">
        <f t="shared" si="57"/>
        <v>0.8403193612774451</v>
      </c>
      <c r="U135" s="81">
        <f>+U136</f>
        <v>1684000</v>
      </c>
      <c r="V135" s="83">
        <f t="shared" si="60"/>
        <v>0.8403193612774451</v>
      </c>
    </row>
    <row r="136" spans="1:22" s="15" customFormat="1" ht="15">
      <c r="A136" s="138" t="s">
        <v>182</v>
      </c>
      <c r="B136" s="28" t="s">
        <v>181</v>
      </c>
      <c r="C136" s="42">
        <v>2004000</v>
      </c>
      <c r="D136" s="48"/>
      <c r="E136" s="48">
        <v>160000</v>
      </c>
      <c r="F136" s="47">
        <v>160000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147">
        <f>SUM(E136:P136)</f>
        <v>320000</v>
      </c>
      <c r="R136" s="148">
        <f t="shared" si="59"/>
        <v>0.1596806387225549</v>
      </c>
      <c r="S136" s="147">
        <f t="shared" si="56"/>
        <v>1684000</v>
      </c>
      <c r="T136" s="148">
        <f t="shared" si="57"/>
        <v>0.8403193612774451</v>
      </c>
      <c r="U136" s="147">
        <f>+C136-Q136</f>
        <v>1684000</v>
      </c>
      <c r="V136" s="148">
        <f t="shared" si="60"/>
        <v>0.8403193612774451</v>
      </c>
    </row>
    <row r="137" spans="1:24" s="16" customFormat="1" ht="15.75">
      <c r="A137" s="168" t="s">
        <v>94</v>
      </c>
      <c r="B137" s="168"/>
      <c r="C137" s="84">
        <f>+C135+C133+C131+C129+C127+C122+C107+C96+C84+C81+C78+C69+C59+C54+C49+C45+C43+C40+C38+C35+C33+C26+C15+C76+C74</f>
        <v>1490751720</v>
      </c>
      <c r="D137" s="84">
        <f>+D135+D133+D131+D129+D127+D122+D107+D96+D84+D81+D78+D76+D74+D69+D59+D54+D49+D45+D43+D40+D38+D35+D33+D26+D15</f>
        <v>10100822.48</v>
      </c>
      <c r="E137" s="84">
        <f>+E135+E133+E131+E129+E127+E122+E107+E96+E84+E81+E78+E69+E59+E54+E49+E45+E43+E40+E35+E26+E15+E38+E33</f>
        <v>123470757.88999999</v>
      </c>
      <c r="F137" s="84">
        <f>+F135+F133+F131+F129+F127+F122+F107+F96+F84+F81+F78+F76+F74+F69+F59+F54+F49+F45+F43+F40+F38+F35+F33+F26+F15</f>
        <v>126740659.56</v>
      </c>
      <c r="G137" s="84">
        <f aca="true" t="shared" si="66" ref="G137:P137">+G135+G133+G131+G129+G127+G122+G107+G96+G84+G81+G78+G69+G59+G54+G49+G45+G43+G40+G35+G26+G15+G38+G33</f>
        <v>0</v>
      </c>
      <c r="H137" s="84">
        <f t="shared" si="66"/>
        <v>0</v>
      </c>
      <c r="I137" s="84">
        <f t="shared" si="66"/>
        <v>0</v>
      </c>
      <c r="J137" s="84">
        <f t="shared" si="66"/>
        <v>0</v>
      </c>
      <c r="K137" s="84">
        <f t="shared" si="66"/>
        <v>0</v>
      </c>
      <c r="L137" s="84">
        <f t="shared" si="66"/>
        <v>0</v>
      </c>
      <c r="M137" s="84">
        <f t="shared" si="66"/>
        <v>0</v>
      </c>
      <c r="N137" s="84">
        <f t="shared" si="66"/>
        <v>0</v>
      </c>
      <c r="O137" s="84">
        <f t="shared" si="66"/>
        <v>0</v>
      </c>
      <c r="P137" s="84">
        <f t="shared" si="66"/>
        <v>0</v>
      </c>
      <c r="Q137" s="85">
        <f>SUM(E137:O137)</f>
        <v>250211417.45</v>
      </c>
      <c r="R137" s="86">
        <f t="shared" si="59"/>
        <v>0.16784244760086542</v>
      </c>
      <c r="S137" s="87" t="e">
        <f>+S122+#REF!+S107+S96+S84+#REF!+#REF!+#REF!+S78+S59+S54+S45+S43+S40+S38+S35+S33+S26+S15+S69</f>
        <v>#REF!</v>
      </c>
      <c r="T137" s="86" t="e">
        <f t="shared" si="57"/>
        <v>#REF!</v>
      </c>
      <c r="U137" s="134">
        <f>+U135+U133+U131+U129+U127+U122+U107+U96+U84+U81+U78+U69+U59+U54+U49+U45+U43+U40+U38+U35+U33+U26+U15</f>
        <v>1250434686.87</v>
      </c>
      <c r="V137" s="88">
        <f t="shared" si="60"/>
        <v>0.8387947302653456</v>
      </c>
      <c r="W137" s="151">
        <v>1490751720</v>
      </c>
      <c r="X137" s="151">
        <f>+W137-C137</f>
        <v>0</v>
      </c>
    </row>
    <row r="138" spans="1:22" ht="15">
      <c r="A138" s="13"/>
      <c r="B138" s="32"/>
      <c r="C138" s="70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89"/>
      <c r="R138" s="90"/>
      <c r="S138" s="89"/>
      <c r="T138" s="90"/>
      <c r="U138" s="89"/>
      <c r="V138" s="90"/>
    </row>
    <row r="139" spans="3:22" s="18" customFormat="1" ht="15">
      <c r="C139" s="7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P139" s="22"/>
      <c r="Q139" s="22"/>
      <c r="R139" s="22"/>
      <c r="S139" s="22"/>
      <c r="T139" s="135"/>
      <c r="U139" s="22"/>
      <c r="V139" s="22"/>
    </row>
    <row r="140" spans="3:22" s="18" customFormat="1" ht="15">
      <c r="C140" s="71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135"/>
      <c r="U140" s="22"/>
      <c r="V140" s="22"/>
    </row>
    <row r="141" spans="3:22" s="18" customFormat="1" ht="15">
      <c r="C141" s="71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135"/>
      <c r="U141" s="22"/>
      <c r="V141" s="22"/>
    </row>
    <row r="142" spans="1:22" ht="15">
      <c r="A142" s="18"/>
      <c r="B142" s="18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19"/>
      <c r="U142" s="25"/>
      <c r="V142" s="25"/>
    </row>
    <row r="143" spans="1:22" ht="15">
      <c r="A143" s="18"/>
      <c r="B143" s="18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19"/>
      <c r="U143" s="25"/>
      <c r="V143" s="25"/>
    </row>
    <row r="144" spans="1:22" ht="20.25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</row>
    <row r="145" spans="1:21" ht="18">
      <c r="A145" s="20"/>
      <c r="B145" s="21"/>
      <c r="C145" s="71"/>
      <c r="E145" s="22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22"/>
      <c r="R145" s="22"/>
      <c r="U145" s="22"/>
    </row>
    <row r="146" spans="3:5" s="18" customFormat="1" ht="15">
      <c r="C146" s="71"/>
      <c r="E146" s="22"/>
    </row>
    <row r="147" spans="3:5" s="18" customFormat="1" ht="15">
      <c r="C147" s="71"/>
      <c r="E147" s="22"/>
    </row>
    <row r="148" s="18" customFormat="1" ht="15">
      <c r="C148" s="71"/>
    </row>
    <row r="149" s="18" customFormat="1" ht="15">
      <c r="C149" s="71"/>
    </row>
    <row r="150" s="18" customFormat="1" ht="15">
      <c r="C150" s="71"/>
    </row>
    <row r="151" spans="3:22" ht="15">
      <c r="C151" s="71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U151" s="4"/>
      <c r="V151" s="4"/>
    </row>
    <row r="152" spans="3:22" ht="15">
      <c r="C152" s="71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U152" s="4"/>
      <c r="V152" s="4"/>
    </row>
    <row r="153" spans="3:22" ht="15">
      <c r="C153" s="71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U153" s="4"/>
      <c r="V153" s="4"/>
    </row>
  </sheetData>
  <sheetProtection/>
  <mergeCells count="11">
    <mergeCell ref="B13:B14"/>
    <mergeCell ref="B3:B4"/>
    <mergeCell ref="A5:V5"/>
    <mergeCell ref="A6:V6"/>
    <mergeCell ref="A7:V7"/>
    <mergeCell ref="A8:V8"/>
    <mergeCell ref="A144:V144"/>
    <mergeCell ref="A13:A14"/>
    <mergeCell ref="A9:V9"/>
    <mergeCell ref="A137:B137"/>
    <mergeCell ref="E13:P13"/>
  </mergeCells>
  <printOptions/>
  <pageMargins left="0.17" right="0.17" top="0.26" bottom="0.49" header="0.23" footer="0.17"/>
  <pageSetup horizontalDpi="600" verticalDpi="600" orientation="landscape" paperSize="153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0"/>
  <sheetViews>
    <sheetView zoomScalePageLayoutView="0" workbookViewId="0" topLeftCell="A99">
      <selection activeCell="F120" sqref="F120"/>
    </sheetView>
  </sheetViews>
  <sheetFormatPr defaultColWidth="11.421875" defaultRowHeight="15"/>
  <cols>
    <col min="1" max="1" width="9.28125" style="0" bestFit="1" customWidth="1"/>
    <col min="2" max="2" width="67.00390625" style="0" customWidth="1"/>
    <col min="3" max="3" width="16.8515625" style="97" customWidth="1"/>
    <col min="4" max="4" width="17.57421875" style="121" customWidth="1"/>
    <col min="5" max="5" width="15.140625" style="127" bestFit="1" customWidth="1"/>
    <col min="6" max="7" width="15.140625" style="127" customWidth="1"/>
    <col min="8" max="8" width="13.421875" style="0" bestFit="1" customWidth="1"/>
  </cols>
  <sheetData>
    <row r="1" spans="1:36" ht="15">
      <c r="A1" s="4"/>
      <c r="B1" s="4"/>
      <c r="C1" s="68"/>
      <c r="D1" s="71"/>
      <c r="E1" s="71"/>
      <c r="F1" s="71"/>
      <c r="G1" s="71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4"/>
      <c r="AH1" s="4"/>
      <c r="AI1" s="18"/>
      <c r="AJ1" s="18"/>
    </row>
    <row r="2" spans="1:36" ht="15">
      <c r="A2" s="4"/>
      <c r="B2" s="4"/>
      <c r="C2" s="68"/>
      <c r="D2" s="71"/>
      <c r="E2" s="71"/>
      <c r="F2" s="71"/>
      <c r="G2" s="7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4"/>
      <c r="AH2" s="4"/>
      <c r="AI2" s="18"/>
      <c r="AJ2" s="18"/>
    </row>
    <row r="3" spans="1:36" ht="15">
      <c r="A3" s="2"/>
      <c r="B3" s="162"/>
      <c r="C3" s="69"/>
      <c r="D3" s="118"/>
      <c r="E3" s="118"/>
      <c r="F3" s="118"/>
      <c r="G3" s="1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2"/>
      <c r="AJ3" s="2"/>
    </row>
    <row r="4" spans="1:36" ht="15">
      <c r="A4" s="2"/>
      <c r="B4" s="162"/>
      <c r="C4" s="69"/>
      <c r="D4" s="118"/>
      <c r="E4" s="118"/>
      <c r="F4" s="118"/>
      <c r="G4" s="11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  <c r="AH4" s="3"/>
      <c r="AI4" s="2"/>
      <c r="AJ4" s="2"/>
    </row>
    <row r="5" spans="1:36" ht="18.75">
      <c r="A5" s="163" t="s">
        <v>0</v>
      </c>
      <c r="B5" s="163"/>
      <c r="C5" s="163"/>
      <c r="D5" s="119"/>
      <c r="E5" s="119"/>
      <c r="F5" s="119"/>
      <c r="G5" s="119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</row>
    <row r="6" spans="1:36" ht="21">
      <c r="A6" s="164" t="s">
        <v>1</v>
      </c>
      <c r="B6" s="164"/>
      <c r="C6" s="164"/>
      <c r="D6" s="120"/>
      <c r="E6" s="120"/>
      <c r="F6" s="120"/>
      <c r="G6" s="120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</row>
    <row r="7" spans="1:36" ht="18.75">
      <c r="A7" s="163" t="s">
        <v>2</v>
      </c>
      <c r="B7" s="163"/>
      <c r="C7" s="163"/>
      <c r="D7" s="119"/>
      <c r="E7" s="119"/>
      <c r="F7" s="119"/>
      <c r="G7" s="119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</row>
    <row r="8" spans="1:36" ht="21">
      <c r="A8" s="164" t="s">
        <v>3</v>
      </c>
      <c r="B8" s="164"/>
      <c r="C8" s="164"/>
      <c r="D8" s="120"/>
      <c r="E8" s="120"/>
      <c r="F8" s="120"/>
      <c r="G8" s="120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</row>
    <row r="9" spans="1:36" ht="18.75">
      <c r="A9" s="163" t="s">
        <v>211</v>
      </c>
      <c r="B9" s="163"/>
      <c r="C9" s="163"/>
      <c r="D9" s="119"/>
      <c r="E9" s="119"/>
      <c r="F9" s="119"/>
      <c r="G9" s="119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ht="15.75" thickBot="1"/>
    <row r="11" spans="1:4" ht="16.5" thickBot="1">
      <c r="A11" s="175" t="s">
        <v>224</v>
      </c>
      <c r="B11" s="176"/>
      <c r="C11" s="177"/>
      <c r="D11" s="122"/>
    </row>
    <row r="12" spans="1:3" ht="15.75">
      <c r="A12" s="95" t="s">
        <v>212</v>
      </c>
      <c r="B12" s="95" t="s">
        <v>213</v>
      </c>
      <c r="C12" s="96" t="s">
        <v>214</v>
      </c>
    </row>
    <row r="13" spans="1:4" ht="15">
      <c r="A13" s="101" t="s">
        <v>202</v>
      </c>
      <c r="B13" s="101" t="s">
        <v>215</v>
      </c>
      <c r="C13" s="103">
        <v>68775000</v>
      </c>
      <c r="D13" s="123" t="s">
        <v>10</v>
      </c>
    </row>
    <row r="14" spans="1:4" ht="15.75" thickBot="1">
      <c r="A14" s="101"/>
      <c r="B14" s="110" t="s">
        <v>244</v>
      </c>
      <c r="C14" s="111">
        <f>SUM(C13)</f>
        <v>68775000</v>
      </c>
      <c r="D14" s="123"/>
    </row>
    <row r="15" spans="1:4" ht="15.75" thickTop="1">
      <c r="A15" s="101"/>
      <c r="B15" s="110"/>
      <c r="C15" s="112"/>
      <c r="D15" s="123"/>
    </row>
    <row r="16" spans="1:4" ht="15">
      <c r="A16" s="101"/>
      <c r="B16" s="110"/>
      <c r="C16" s="112"/>
      <c r="D16" s="123"/>
    </row>
    <row r="17" spans="1:4" ht="15.75">
      <c r="A17" s="174" t="s">
        <v>225</v>
      </c>
      <c r="B17" s="174"/>
      <c r="C17" s="174"/>
      <c r="D17" s="174"/>
    </row>
    <row r="18" spans="1:4" ht="15.75">
      <c r="A18" s="113" t="s">
        <v>212</v>
      </c>
      <c r="B18" s="113" t="s">
        <v>213</v>
      </c>
      <c r="C18" s="114" t="s">
        <v>214</v>
      </c>
      <c r="D18" s="123"/>
    </row>
    <row r="19" spans="1:4" ht="15">
      <c r="A19" s="101" t="s">
        <v>111</v>
      </c>
      <c r="B19" s="101" t="s">
        <v>216</v>
      </c>
      <c r="C19" s="102">
        <v>2682842.32</v>
      </c>
      <c r="D19" s="123" t="s">
        <v>11</v>
      </c>
    </row>
    <row r="20" spans="1:4" ht="15.75" thickBot="1">
      <c r="A20" s="101"/>
      <c r="B20" s="110" t="s">
        <v>244</v>
      </c>
      <c r="C20" s="111">
        <f>SUM(C19)</f>
        <v>2682842.32</v>
      </c>
      <c r="D20" s="123"/>
    </row>
    <row r="21" spans="1:4" ht="15.75" thickTop="1">
      <c r="A21" s="101"/>
      <c r="B21" s="101"/>
      <c r="C21" s="102"/>
      <c r="D21" s="123"/>
    </row>
    <row r="22" spans="1:4" ht="15.75" thickBot="1">
      <c r="A22" s="101"/>
      <c r="B22" s="101"/>
      <c r="C22" s="102"/>
      <c r="D22" s="123"/>
    </row>
    <row r="23" spans="1:4" ht="16.5" thickBot="1">
      <c r="A23" s="178" t="s">
        <v>226</v>
      </c>
      <c r="B23" s="179"/>
      <c r="C23" s="180"/>
      <c r="D23" s="124"/>
    </row>
    <row r="24" spans="1:4" ht="15.75">
      <c r="A24" s="113" t="s">
        <v>212</v>
      </c>
      <c r="B24" s="113" t="s">
        <v>213</v>
      </c>
      <c r="C24" s="114" t="s">
        <v>214</v>
      </c>
      <c r="D24" s="123"/>
    </row>
    <row r="25" spans="1:4" ht="15">
      <c r="A25" s="101" t="s">
        <v>118</v>
      </c>
      <c r="B25" s="101" t="s">
        <v>217</v>
      </c>
      <c r="C25" s="102">
        <v>252310</v>
      </c>
      <c r="D25" s="123" t="s">
        <v>218</v>
      </c>
    </row>
    <row r="26" spans="1:4" ht="15">
      <c r="A26" s="101" t="s">
        <v>98</v>
      </c>
      <c r="B26" s="101" t="s">
        <v>219</v>
      </c>
      <c r="C26" s="102">
        <v>185000</v>
      </c>
      <c r="D26" s="123" t="s">
        <v>12</v>
      </c>
    </row>
    <row r="27" spans="1:4" ht="15">
      <c r="A27" s="101" t="s">
        <v>170</v>
      </c>
      <c r="B27" s="101" t="s">
        <v>220</v>
      </c>
      <c r="C27" s="102">
        <v>28000</v>
      </c>
      <c r="D27" s="123" t="s">
        <v>12</v>
      </c>
    </row>
    <row r="28" spans="1:4" ht="15">
      <c r="A28" s="101" t="s">
        <v>221</v>
      </c>
      <c r="B28" s="101" t="s">
        <v>222</v>
      </c>
      <c r="C28" s="102">
        <v>2934070</v>
      </c>
      <c r="D28" s="123" t="s">
        <v>12</v>
      </c>
    </row>
    <row r="29" spans="1:4" ht="15.75" thickBot="1">
      <c r="A29" s="101"/>
      <c r="B29" s="110" t="s">
        <v>244</v>
      </c>
      <c r="C29" s="111">
        <f>SUM(C25:C28)</f>
        <v>3399380</v>
      </c>
      <c r="D29" s="123"/>
    </row>
    <row r="30" spans="1:4" ht="15.75" thickTop="1">
      <c r="A30" s="101"/>
      <c r="B30" s="110"/>
      <c r="C30" s="112"/>
      <c r="D30" s="123"/>
    </row>
    <row r="31" spans="1:4" ht="15.75" thickBot="1">
      <c r="A31" s="101"/>
      <c r="B31" s="110"/>
      <c r="C31" s="112"/>
      <c r="D31" s="123"/>
    </row>
    <row r="32" spans="1:4" ht="16.5" thickBot="1">
      <c r="A32" s="178" t="s">
        <v>227</v>
      </c>
      <c r="B32" s="179"/>
      <c r="C32" s="180"/>
      <c r="D32" s="124"/>
    </row>
    <row r="33" spans="1:4" ht="15.75">
      <c r="A33" s="113" t="s">
        <v>212</v>
      </c>
      <c r="B33" s="113" t="s">
        <v>213</v>
      </c>
      <c r="C33" s="114" t="s">
        <v>214</v>
      </c>
      <c r="D33" s="123"/>
    </row>
    <row r="34" spans="1:4" ht="15">
      <c r="A34" s="101" t="s">
        <v>95</v>
      </c>
      <c r="B34" s="101" t="s">
        <v>228</v>
      </c>
      <c r="C34" s="102">
        <v>7110500</v>
      </c>
      <c r="D34" s="123" t="s">
        <v>153</v>
      </c>
    </row>
    <row r="35" spans="1:4" ht="15">
      <c r="A35" s="101" t="s">
        <v>97</v>
      </c>
      <c r="B35" s="101" t="s">
        <v>223</v>
      </c>
      <c r="C35" s="102">
        <v>879590</v>
      </c>
      <c r="D35" s="123" t="s">
        <v>153</v>
      </c>
    </row>
    <row r="36" spans="1:4" ht="15">
      <c r="A36" s="101" t="s">
        <v>98</v>
      </c>
      <c r="B36" s="101" t="s">
        <v>219</v>
      </c>
      <c r="C36" s="102">
        <v>79160</v>
      </c>
      <c r="D36" s="123" t="s">
        <v>153</v>
      </c>
    </row>
    <row r="37" spans="1:4" ht="15">
      <c r="A37" s="101" t="s">
        <v>170</v>
      </c>
      <c r="B37" s="101" t="s">
        <v>220</v>
      </c>
      <c r="C37" s="102">
        <v>13389</v>
      </c>
      <c r="D37" s="123" t="s">
        <v>153</v>
      </c>
    </row>
    <row r="38" spans="1:4" ht="15">
      <c r="A38" s="101" t="s">
        <v>210</v>
      </c>
      <c r="B38" s="101" t="s">
        <v>229</v>
      </c>
      <c r="C38" s="102">
        <v>4995000</v>
      </c>
      <c r="D38" s="123" t="s">
        <v>231</v>
      </c>
    </row>
    <row r="39" spans="1:4" ht="15">
      <c r="A39" s="101" t="s">
        <v>97</v>
      </c>
      <c r="B39" s="101" t="s">
        <v>223</v>
      </c>
      <c r="C39" s="102">
        <v>801900</v>
      </c>
      <c r="D39" s="123" t="s">
        <v>231</v>
      </c>
    </row>
    <row r="40" spans="1:4" ht="15">
      <c r="A40" s="101" t="s">
        <v>192</v>
      </c>
      <c r="B40" s="101" t="s">
        <v>230</v>
      </c>
      <c r="C40" s="102">
        <v>999000</v>
      </c>
      <c r="D40" s="123" t="s">
        <v>231</v>
      </c>
    </row>
    <row r="41" spans="1:4" ht="15">
      <c r="A41" s="101" t="s">
        <v>209</v>
      </c>
      <c r="B41" s="101" t="s">
        <v>232</v>
      </c>
      <c r="C41" s="102">
        <v>108137075.33</v>
      </c>
      <c r="D41" s="123" t="s">
        <v>153</v>
      </c>
    </row>
    <row r="42" spans="1:4" ht="15.75" thickBot="1">
      <c r="A42" s="101"/>
      <c r="B42" s="110" t="s">
        <v>244</v>
      </c>
      <c r="C42" s="111">
        <f>SUM(C34:C41)</f>
        <v>123015614.33</v>
      </c>
      <c r="D42" s="123"/>
    </row>
    <row r="43" spans="1:4" ht="15.75" thickTop="1">
      <c r="A43" s="101"/>
      <c r="B43" s="101"/>
      <c r="C43" s="102"/>
      <c r="D43" s="123"/>
    </row>
    <row r="44" spans="1:4" ht="15">
      <c r="A44" s="101"/>
      <c r="B44" s="101"/>
      <c r="C44" s="102"/>
      <c r="D44" s="123"/>
    </row>
    <row r="45" spans="1:4" ht="15.75" thickBot="1">
      <c r="A45" s="101"/>
      <c r="B45" s="101"/>
      <c r="C45" s="102"/>
      <c r="D45" s="123"/>
    </row>
    <row r="46" spans="1:4" ht="16.5" thickBot="1">
      <c r="A46" s="178" t="s">
        <v>233</v>
      </c>
      <c r="B46" s="179"/>
      <c r="C46" s="180"/>
      <c r="D46" s="124"/>
    </row>
    <row r="47" spans="1:4" ht="15.75">
      <c r="A47" s="113" t="s">
        <v>212</v>
      </c>
      <c r="B47" s="113" t="s">
        <v>213</v>
      </c>
      <c r="C47" s="114" t="s">
        <v>214</v>
      </c>
      <c r="D47" s="123"/>
    </row>
    <row r="48" spans="1:4" ht="15">
      <c r="A48" s="101" t="s">
        <v>95</v>
      </c>
      <c r="B48" s="101" t="s">
        <v>228</v>
      </c>
      <c r="C48" s="102">
        <v>1900000</v>
      </c>
      <c r="D48" s="123"/>
    </row>
    <row r="49" spans="1:4" ht="15">
      <c r="A49" s="101" t="s">
        <v>98</v>
      </c>
      <c r="B49" s="101" t="s">
        <v>219</v>
      </c>
      <c r="C49" s="102">
        <v>55550</v>
      </c>
      <c r="D49" s="123"/>
    </row>
    <row r="50" spans="1:4" ht="15">
      <c r="A50" s="101" t="s">
        <v>170</v>
      </c>
      <c r="B50" s="101" t="s">
        <v>220</v>
      </c>
      <c r="C50" s="102">
        <v>9402</v>
      </c>
      <c r="D50" s="123"/>
    </row>
    <row r="51" spans="1:4" ht="15">
      <c r="A51" s="101" t="s">
        <v>97</v>
      </c>
      <c r="B51" s="101" t="s">
        <v>223</v>
      </c>
      <c r="C51" s="102">
        <v>330000</v>
      </c>
      <c r="D51" s="123"/>
    </row>
    <row r="52" spans="1:4" ht="15.75" thickBot="1">
      <c r="A52" s="101"/>
      <c r="B52" s="110" t="s">
        <v>244</v>
      </c>
      <c r="C52" s="111">
        <f>SUM(C48:C51)</f>
        <v>2294952</v>
      </c>
      <c r="D52" s="123"/>
    </row>
    <row r="53" spans="1:4" ht="15.75" thickTop="1">
      <c r="A53" s="101"/>
      <c r="B53" s="101"/>
      <c r="C53" s="102"/>
      <c r="D53" s="123"/>
    </row>
    <row r="54" spans="1:4" ht="15.75" thickBot="1">
      <c r="A54" s="101"/>
      <c r="B54" s="101"/>
      <c r="C54" s="102"/>
      <c r="D54" s="123"/>
    </row>
    <row r="55" spans="1:4" ht="16.5" thickBot="1">
      <c r="A55" s="178" t="s">
        <v>236</v>
      </c>
      <c r="B55" s="179"/>
      <c r="C55" s="180"/>
      <c r="D55" s="124"/>
    </row>
    <row r="56" spans="1:4" ht="15.75">
      <c r="A56" s="113" t="s">
        <v>212</v>
      </c>
      <c r="B56" s="113" t="s">
        <v>213</v>
      </c>
      <c r="C56" s="114" t="s">
        <v>214</v>
      </c>
      <c r="D56" s="123"/>
    </row>
    <row r="57" spans="1:4" ht="15">
      <c r="A57" s="101" t="s">
        <v>148</v>
      </c>
      <c r="B57" s="101" t="s">
        <v>234</v>
      </c>
      <c r="C57" s="102">
        <v>12471589.5</v>
      </c>
      <c r="D57" s="123"/>
    </row>
    <row r="58" spans="1:4" ht="15">
      <c r="A58" s="101" t="s">
        <v>149</v>
      </c>
      <c r="B58" s="101" t="s">
        <v>235</v>
      </c>
      <c r="C58" s="102">
        <v>2124388.5</v>
      </c>
      <c r="D58" s="123"/>
    </row>
    <row r="59" spans="1:4" ht="15">
      <c r="A59" s="101" t="s">
        <v>195</v>
      </c>
      <c r="B59" s="101" t="s">
        <v>237</v>
      </c>
      <c r="C59" s="102">
        <v>3250000</v>
      </c>
      <c r="D59" s="123"/>
    </row>
    <row r="60" spans="1:4" ht="15">
      <c r="A60" s="101" t="s">
        <v>238</v>
      </c>
      <c r="B60" s="101" t="s">
        <v>239</v>
      </c>
      <c r="C60" s="102">
        <v>58601990</v>
      </c>
      <c r="D60" s="123"/>
    </row>
    <row r="61" spans="1:4" ht="15">
      <c r="A61" s="101" t="s">
        <v>195</v>
      </c>
      <c r="B61" s="101" t="s">
        <v>240</v>
      </c>
      <c r="C61" s="102">
        <v>3319930</v>
      </c>
      <c r="D61" s="123"/>
    </row>
    <row r="62" spans="1:4" ht="15">
      <c r="A62" s="101" t="s">
        <v>118</v>
      </c>
      <c r="B62" s="101" t="s">
        <v>217</v>
      </c>
      <c r="C62" s="102">
        <v>1000000</v>
      </c>
      <c r="D62" s="123"/>
    </row>
    <row r="63" spans="1:4" ht="15">
      <c r="A63" s="101" t="s">
        <v>119</v>
      </c>
      <c r="B63" s="101" t="s">
        <v>241</v>
      </c>
      <c r="C63" s="102">
        <v>1000000</v>
      </c>
      <c r="D63" s="123"/>
    </row>
    <row r="64" spans="1:4" ht="15.75" thickBot="1">
      <c r="A64" s="101"/>
      <c r="B64" s="110" t="s">
        <v>244</v>
      </c>
      <c r="C64" s="111">
        <f>SUM(C57:C63)</f>
        <v>81767898</v>
      </c>
      <c r="D64" s="123"/>
    </row>
    <row r="65" spans="1:4" ht="15.75" thickTop="1">
      <c r="A65" s="101"/>
      <c r="B65" s="101"/>
      <c r="C65" s="102"/>
      <c r="D65" s="123"/>
    </row>
    <row r="66" spans="1:4" ht="15.75" thickBot="1">
      <c r="A66" s="101"/>
      <c r="B66" s="101"/>
      <c r="C66" s="102"/>
      <c r="D66" s="123"/>
    </row>
    <row r="67" spans="1:4" ht="16.5" thickBot="1">
      <c r="A67" s="178" t="s">
        <v>242</v>
      </c>
      <c r="B67" s="179"/>
      <c r="C67" s="180"/>
      <c r="D67" s="124"/>
    </row>
    <row r="68" spans="1:4" ht="15.75">
      <c r="A68" s="113" t="s">
        <v>212</v>
      </c>
      <c r="B68" s="113" t="s">
        <v>213</v>
      </c>
      <c r="C68" s="114" t="s">
        <v>214</v>
      </c>
      <c r="D68" s="123"/>
    </row>
    <row r="69" spans="1:4" ht="15">
      <c r="A69" s="101" t="s">
        <v>95</v>
      </c>
      <c r="B69" s="101" t="s">
        <v>228</v>
      </c>
      <c r="C69" s="102">
        <v>2525205.62</v>
      </c>
      <c r="D69" s="123"/>
    </row>
    <row r="70" spans="1:4" ht="15">
      <c r="A70" s="101" t="s">
        <v>118</v>
      </c>
      <c r="B70" s="101" t="s">
        <v>217</v>
      </c>
      <c r="C70" s="102">
        <v>1000000</v>
      </c>
      <c r="D70" s="123"/>
    </row>
    <row r="71" spans="1:4" ht="15">
      <c r="A71" s="101" t="s">
        <v>119</v>
      </c>
      <c r="B71" s="101" t="s">
        <v>241</v>
      </c>
      <c r="C71" s="102">
        <v>1000000</v>
      </c>
      <c r="D71" s="123"/>
    </row>
    <row r="72" spans="2:3" ht="15.75" thickBot="1">
      <c r="B72" s="99" t="s">
        <v>244</v>
      </c>
      <c r="C72" s="98">
        <f>SUM(C69:C71)</f>
        <v>4525205.62</v>
      </c>
    </row>
    <row r="73" ht="15.75" thickTop="1"/>
    <row r="74" spans="2:3" ht="15.75" thickBot="1">
      <c r="B74" s="99" t="s">
        <v>243</v>
      </c>
      <c r="C74" s="100">
        <f>+C72+C64+C52+C42+C29+C20+C14</f>
        <v>286460892.27</v>
      </c>
    </row>
    <row r="75" ht="15.75" thickTop="1"/>
    <row r="78" ht="15.75" thickBot="1"/>
    <row r="79" spans="1:3" ht="16.5" thickBot="1">
      <c r="A79" s="181" t="s">
        <v>246</v>
      </c>
      <c r="B79" s="182"/>
      <c r="C79" s="183"/>
    </row>
    <row r="80" spans="1:3" ht="15">
      <c r="A80" s="115" t="s">
        <v>95</v>
      </c>
      <c r="B80" s="115" t="s">
        <v>228</v>
      </c>
      <c r="C80" s="116">
        <f>+C69+C48+C34</f>
        <v>11535705.620000001</v>
      </c>
    </row>
    <row r="81" spans="1:3" ht="15">
      <c r="A81" s="104" t="s">
        <v>210</v>
      </c>
      <c r="B81" s="104" t="s">
        <v>229</v>
      </c>
      <c r="C81" s="105">
        <v>4995000</v>
      </c>
    </row>
    <row r="82" spans="1:3" ht="15">
      <c r="A82" s="106" t="s">
        <v>97</v>
      </c>
      <c r="B82" s="106" t="s">
        <v>223</v>
      </c>
      <c r="C82" s="107">
        <v>801900</v>
      </c>
    </row>
    <row r="83" spans="1:3" ht="15">
      <c r="A83" s="106" t="s">
        <v>192</v>
      </c>
      <c r="B83" s="106" t="s">
        <v>230</v>
      </c>
      <c r="C83" s="107">
        <v>999000</v>
      </c>
    </row>
    <row r="84" spans="1:3" ht="15">
      <c r="A84" s="104" t="s">
        <v>98</v>
      </c>
      <c r="B84" s="104" t="s">
        <v>219</v>
      </c>
      <c r="C84" s="107">
        <f>+C49+C36+C26</f>
        <v>319710</v>
      </c>
    </row>
    <row r="85" spans="1:3" ht="15">
      <c r="A85" s="104" t="s">
        <v>170</v>
      </c>
      <c r="B85" s="104" t="s">
        <v>220</v>
      </c>
      <c r="C85" s="107">
        <f>+C50+C37+C27</f>
        <v>50791</v>
      </c>
    </row>
    <row r="86" spans="1:3" ht="15">
      <c r="A86" s="104" t="s">
        <v>97</v>
      </c>
      <c r="B86" s="104" t="s">
        <v>223</v>
      </c>
      <c r="C86" s="107">
        <f>+C51+C35</f>
        <v>1209590</v>
      </c>
    </row>
    <row r="87" spans="1:3" ht="15">
      <c r="A87" s="104" t="s">
        <v>209</v>
      </c>
      <c r="B87" s="104" t="s">
        <v>232</v>
      </c>
      <c r="C87" s="105">
        <v>108137075.33</v>
      </c>
    </row>
    <row r="88" spans="1:3" ht="15">
      <c r="A88" s="104" t="s">
        <v>111</v>
      </c>
      <c r="B88" s="104" t="s">
        <v>216</v>
      </c>
      <c r="C88" s="105">
        <v>2682842.32</v>
      </c>
    </row>
    <row r="89" spans="1:3" ht="15">
      <c r="A89" s="104" t="s">
        <v>148</v>
      </c>
      <c r="B89" s="104" t="s">
        <v>234</v>
      </c>
      <c r="C89" s="105">
        <v>12471589.5</v>
      </c>
    </row>
    <row r="90" spans="1:3" ht="15">
      <c r="A90" s="104" t="s">
        <v>149</v>
      </c>
      <c r="B90" s="104" t="s">
        <v>235</v>
      </c>
      <c r="C90" s="105">
        <v>2124388.5</v>
      </c>
    </row>
    <row r="91" spans="1:3" ht="15">
      <c r="A91" s="104" t="s">
        <v>195</v>
      </c>
      <c r="B91" s="104" t="s">
        <v>240</v>
      </c>
      <c r="C91" s="105">
        <f>+C61+C59</f>
        <v>6569930</v>
      </c>
    </row>
    <row r="92" spans="1:3" ht="15">
      <c r="A92" s="104" t="s">
        <v>118</v>
      </c>
      <c r="B92" s="104" t="s">
        <v>217</v>
      </c>
      <c r="C92" s="105">
        <f>+C70+C62+C25</f>
        <v>2252310</v>
      </c>
    </row>
    <row r="93" spans="1:3" ht="15">
      <c r="A93" s="104" t="s">
        <v>119</v>
      </c>
      <c r="B93" s="104" t="s">
        <v>241</v>
      </c>
      <c r="C93" s="105">
        <f>+C71+C63</f>
        <v>2000000</v>
      </c>
    </row>
    <row r="94" spans="1:3" ht="15">
      <c r="A94" s="104" t="s">
        <v>202</v>
      </c>
      <c r="B94" s="104" t="s">
        <v>215</v>
      </c>
      <c r="C94" s="105">
        <v>68775000</v>
      </c>
    </row>
    <row r="95" spans="1:3" ht="15">
      <c r="A95" s="104" t="s">
        <v>221</v>
      </c>
      <c r="B95" s="104" t="s">
        <v>222</v>
      </c>
      <c r="C95" s="105">
        <v>2934070</v>
      </c>
    </row>
    <row r="96" spans="1:3" ht="15">
      <c r="A96" s="104" t="s">
        <v>238</v>
      </c>
      <c r="B96" s="104" t="s">
        <v>239</v>
      </c>
      <c r="C96" s="105">
        <v>58601990</v>
      </c>
    </row>
    <row r="97" spans="1:3" ht="15.75" thickBot="1">
      <c r="A97" s="108"/>
      <c r="B97" s="109" t="s">
        <v>245</v>
      </c>
      <c r="C97" s="98">
        <f>SUM(C80:C96)</f>
        <v>286460892.27</v>
      </c>
    </row>
    <row r="98" ht="15.75" thickTop="1"/>
    <row r="99" ht="15.75" thickBot="1"/>
    <row r="100" spans="1:3" ht="16.5" thickBot="1">
      <c r="A100" s="181" t="s">
        <v>246</v>
      </c>
      <c r="B100" s="182"/>
      <c r="C100" s="183"/>
    </row>
    <row r="101" spans="1:7" ht="15">
      <c r="A101" s="115" t="s">
        <v>95</v>
      </c>
      <c r="B101" s="115" t="s">
        <v>228</v>
      </c>
      <c r="C101" s="132">
        <f>86640281.62+86640281.62+84115076+84115076+82215076+82215076+82215076+82215076+75104576+75191421+75191421</f>
        <v>895858437.24</v>
      </c>
      <c r="D101" s="127" t="s">
        <v>264</v>
      </c>
      <c r="E101" s="127" t="s">
        <v>265</v>
      </c>
      <c r="F101" s="127" t="s">
        <v>266</v>
      </c>
      <c r="G101" s="127" t="s">
        <v>267</v>
      </c>
    </row>
    <row r="102" spans="1:8" ht="15">
      <c r="A102" s="104" t="s">
        <v>210</v>
      </c>
      <c r="B102" s="104" t="s">
        <v>250</v>
      </c>
      <c r="C102" s="107">
        <v>4995000</v>
      </c>
      <c r="D102" s="121">
        <v>15387090</v>
      </c>
      <c r="E102" s="127">
        <v>75191421</v>
      </c>
      <c r="F102" s="127">
        <v>1235000</v>
      </c>
      <c r="G102" s="127">
        <v>192000</v>
      </c>
      <c r="H102" t="s">
        <v>254</v>
      </c>
    </row>
    <row r="103" spans="1:8" ht="15">
      <c r="A103" s="106" t="s">
        <v>97</v>
      </c>
      <c r="B103" s="106" t="s">
        <v>223</v>
      </c>
      <c r="C103" s="107">
        <v>801900</v>
      </c>
      <c r="D103" s="121">
        <v>15387090</v>
      </c>
      <c r="E103" s="127">
        <v>75191421</v>
      </c>
      <c r="F103" s="127">
        <v>1235000</v>
      </c>
      <c r="G103" s="127">
        <v>192000</v>
      </c>
      <c r="H103" t="s">
        <v>256</v>
      </c>
    </row>
    <row r="104" spans="1:8" ht="15">
      <c r="A104" s="106" t="s">
        <v>192</v>
      </c>
      <c r="B104" s="106" t="s">
        <v>230</v>
      </c>
      <c r="C104" s="107">
        <v>999000</v>
      </c>
      <c r="D104" s="121">
        <v>15639400</v>
      </c>
      <c r="E104" s="127">
        <v>75104576</v>
      </c>
      <c r="F104" s="127">
        <v>1420000</v>
      </c>
      <c r="G104" s="127">
        <v>220000</v>
      </c>
      <c r="H104" t="s">
        <v>255</v>
      </c>
    </row>
    <row r="105" spans="1:8" ht="15">
      <c r="A105" s="104" t="s">
        <v>98</v>
      </c>
      <c r="B105" s="104" t="s">
        <v>219</v>
      </c>
      <c r="C105" s="107">
        <f>1554710+1554710+1554710+1554710+1499160+1499160+1499160+1499160+1420000+1235000+1235000</f>
        <v>16105480</v>
      </c>
      <c r="D105" s="121">
        <v>16518990</v>
      </c>
      <c r="E105" s="127">
        <v>82215076</v>
      </c>
      <c r="F105" s="127">
        <v>1499160</v>
      </c>
      <c r="G105" s="127">
        <v>233398</v>
      </c>
      <c r="H105" t="s">
        <v>257</v>
      </c>
    </row>
    <row r="106" spans="1:8" ht="15">
      <c r="A106" s="104" t="s">
        <v>170</v>
      </c>
      <c r="B106" s="104" t="s">
        <v>220</v>
      </c>
      <c r="C106" s="107">
        <f>242800+242800+242800+242800+233398+233398+233398+233398+220000+192000+192000</f>
        <v>2508792</v>
      </c>
      <c r="D106" s="121">
        <v>16518990</v>
      </c>
      <c r="E106" s="127">
        <v>82215076</v>
      </c>
      <c r="F106" s="127">
        <v>1499160</v>
      </c>
      <c r="G106" s="127">
        <v>233398</v>
      </c>
      <c r="H106" t="s">
        <v>258</v>
      </c>
    </row>
    <row r="107" spans="1:8" ht="15">
      <c r="A107" s="104" t="s">
        <v>209</v>
      </c>
      <c r="B107" s="104" t="s">
        <v>249</v>
      </c>
      <c r="C107" s="107">
        <v>108137017.73</v>
      </c>
      <c r="D107" s="121">
        <v>16518990</v>
      </c>
      <c r="E107" s="127">
        <v>82215076</v>
      </c>
      <c r="F107" s="127">
        <v>1499160</v>
      </c>
      <c r="G107" s="127">
        <v>233398</v>
      </c>
      <c r="H107" t="s">
        <v>259</v>
      </c>
    </row>
    <row r="108" spans="1:8" ht="15">
      <c r="A108" s="104" t="s">
        <v>111</v>
      </c>
      <c r="B108" s="104" t="s">
        <v>251</v>
      </c>
      <c r="C108" s="107">
        <v>2682842.32</v>
      </c>
      <c r="D108" s="121">
        <v>16518990</v>
      </c>
      <c r="E108" s="127">
        <v>82215076</v>
      </c>
      <c r="F108" s="127">
        <v>1499160</v>
      </c>
      <c r="G108" s="127">
        <v>233398</v>
      </c>
      <c r="H108" t="s">
        <v>260</v>
      </c>
    </row>
    <row r="109" spans="1:8" ht="15">
      <c r="A109" s="104" t="s">
        <v>148</v>
      </c>
      <c r="B109" s="104" t="s">
        <v>248</v>
      </c>
      <c r="C109" s="107">
        <v>12471589.5</v>
      </c>
      <c r="D109" s="121">
        <v>16848990</v>
      </c>
      <c r="E109" s="127">
        <v>84115076</v>
      </c>
      <c r="F109" s="127">
        <v>1554710</v>
      </c>
      <c r="G109" s="127">
        <v>242800</v>
      </c>
      <c r="H109" t="s">
        <v>261</v>
      </c>
    </row>
    <row r="110" spans="1:8" ht="15">
      <c r="A110" s="104" t="s">
        <v>149</v>
      </c>
      <c r="B110" s="104" t="s">
        <v>235</v>
      </c>
      <c r="C110" s="107">
        <v>5124388.5</v>
      </c>
      <c r="D110" s="121">
        <v>16848990</v>
      </c>
      <c r="E110" s="127">
        <v>84115076</v>
      </c>
      <c r="F110" s="127">
        <v>1554710</v>
      </c>
      <c r="G110" s="127">
        <v>242800</v>
      </c>
      <c r="H110" t="s">
        <v>262</v>
      </c>
    </row>
    <row r="111" spans="1:8" ht="15">
      <c r="A111" s="104" t="s">
        <v>195</v>
      </c>
      <c r="B111" s="104" t="s">
        <v>247</v>
      </c>
      <c r="C111" s="107">
        <f>3319930+3250000</f>
        <v>6569930</v>
      </c>
      <c r="D111" s="121">
        <v>16848990</v>
      </c>
      <c r="E111" s="127">
        <v>86640281.62</v>
      </c>
      <c r="F111" s="127">
        <v>1554710</v>
      </c>
      <c r="G111" s="127">
        <v>242800</v>
      </c>
      <c r="H111" t="s">
        <v>263</v>
      </c>
    </row>
    <row r="112" spans="1:8" ht="17.25">
      <c r="A112" s="104" t="s">
        <v>118</v>
      </c>
      <c r="B112" s="104" t="s">
        <v>217</v>
      </c>
      <c r="C112" s="107">
        <f>1000000+1000000+1000000+1000000</f>
        <v>4000000</v>
      </c>
      <c r="D112" s="125">
        <v>16848990</v>
      </c>
      <c r="E112" s="125">
        <v>86640281.62</v>
      </c>
      <c r="F112" s="125">
        <v>1554710</v>
      </c>
      <c r="G112" s="125">
        <v>242800</v>
      </c>
      <c r="H112" t="s">
        <v>253</v>
      </c>
    </row>
    <row r="113" spans="1:8" ht="17.25">
      <c r="A113" s="104" t="s">
        <v>119</v>
      </c>
      <c r="B113" s="104" t="s">
        <v>241</v>
      </c>
      <c r="C113" s="107">
        <f>1000000+1000000+1000000+1000000</f>
        <v>4000000</v>
      </c>
      <c r="D113" s="126">
        <f>SUM(D102:D112)</f>
        <v>179885500</v>
      </c>
      <c r="E113" s="126">
        <f>SUM(E102:E112)</f>
        <v>895858437.24</v>
      </c>
      <c r="F113" s="126">
        <f>SUM(F102:F112)</f>
        <v>16105480</v>
      </c>
      <c r="G113" s="126">
        <f>SUM(G102:G112)</f>
        <v>2508792</v>
      </c>
      <c r="H113" t="s">
        <v>269</v>
      </c>
    </row>
    <row r="114" spans="1:7" ht="15">
      <c r="A114" s="104" t="s">
        <v>202</v>
      </c>
      <c r="B114" s="104" t="s">
        <v>252</v>
      </c>
      <c r="C114" s="107">
        <v>68775000</v>
      </c>
      <c r="D114" s="129">
        <f>15387090*11</f>
        <v>169257990</v>
      </c>
      <c r="E114" s="127">
        <f>+E102*11</f>
        <v>827105631</v>
      </c>
      <c r="F114" s="127">
        <f>+F102*11</f>
        <v>13585000</v>
      </c>
      <c r="G114" s="127">
        <f>+G102*11</f>
        <v>2112000</v>
      </c>
    </row>
    <row r="115" spans="1:8" ht="15">
      <c r="A115" s="104" t="s">
        <v>221</v>
      </c>
      <c r="B115" s="104" t="s">
        <v>222</v>
      </c>
      <c r="C115" s="107">
        <v>2934070</v>
      </c>
      <c r="D115" s="130">
        <f>+D113-D114</f>
        <v>10627510</v>
      </c>
      <c r="E115" s="130">
        <f>+E113-E114</f>
        <v>68752806.24000001</v>
      </c>
      <c r="F115" s="130">
        <f>+F113-F114</f>
        <v>2520480</v>
      </c>
      <c r="G115" s="130">
        <f>+G113-G114</f>
        <v>396792</v>
      </c>
      <c r="H115" s="131" t="s">
        <v>268</v>
      </c>
    </row>
    <row r="116" spans="1:3" ht="15">
      <c r="A116" s="104" t="s">
        <v>238</v>
      </c>
      <c r="B116" s="104" t="s">
        <v>239</v>
      </c>
      <c r="C116" s="107">
        <v>58601990</v>
      </c>
    </row>
    <row r="117" spans="1:4" ht="15">
      <c r="A117" s="117" t="s">
        <v>172</v>
      </c>
      <c r="B117" s="28" t="s">
        <v>270</v>
      </c>
      <c r="C117" s="47">
        <v>32000000</v>
      </c>
      <c r="D117" s="127"/>
    </row>
    <row r="118" spans="1:3" ht="15.75" thickBot="1">
      <c r="A118" s="108"/>
      <c r="B118" s="109" t="s">
        <v>245</v>
      </c>
      <c r="C118" s="98">
        <f>+C101+C102+C103+C104+C105+C106+C107+C108+C109+C110+C111+C112+C113+C114+C115+C116+C117</f>
        <v>1226565437.29</v>
      </c>
    </row>
    <row r="119" ht="15.75" thickTop="1"/>
    <row r="120" ht="15.75" thickBot="1">
      <c r="C120" s="100">
        <f>+C118+D113</f>
        <v>1406450937.29</v>
      </c>
    </row>
    <row r="121" ht="15.75" thickTop="1"/>
  </sheetData>
  <sheetProtection/>
  <mergeCells count="15">
    <mergeCell ref="A32:C32"/>
    <mergeCell ref="A46:C46"/>
    <mergeCell ref="A9:C9"/>
    <mergeCell ref="A100:C100"/>
    <mergeCell ref="A8:C8"/>
    <mergeCell ref="A7:C7"/>
    <mergeCell ref="A55:C55"/>
    <mergeCell ref="A67:C67"/>
    <mergeCell ref="A79:C79"/>
    <mergeCell ref="B3:B4"/>
    <mergeCell ref="A17:D17"/>
    <mergeCell ref="A6:C6"/>
    <mergeCell ref="A5:C5"/>
    <mergeCell ref="A11:C11"/>
    <mergeCell ref="A23:C23"/>
  </mergeCells>
  <printOptions/>
  <pageMargins left="0.29" right="0.36" top="0.43" bottom="0.75" header="0.21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HARLENYS MATEO CASTILLO</cp:lastModifiedBy>
  <cp:lastPrinted>2022-03-07T15:14:12Z</cp:lastPrinted>
  <dcterms:created xsi:type="dcterms:W3CDTF">2019-01-09T20:58:22Z</dcterms:created>
  <dcterms:modified xsi:type="dcterms:W3CDTF">2022-03-18T17:57:53Z</dcterms:modified>
  <cp:category/>
  <cp:version/>
  <cp:contentType/>
  <cp:contentStatus/>
</cp:coreProperties>
</file>