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815" windowHeight="7650" activeTab="0"/>
  </bookViews>
  <sheets>
    <sheet name="EJECUCION 2021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<sst xmlns="http://schemas.openxmlformats.org/spreadsheetml/2006/main" count="516" uniqueCount="361">
  <si>
    <t>REPÚBLICA DOMINICANA</t>
  </si>
  <si>
    <t>DIRECCIÓN NACIONAL DE CONTROL DE DROGAS</t>
  </si>
  <si>
    <t>-D.N.C.D.-</t>
  </si>
  <si>
    <t>Dirección Financiera</t>
  </si>
  <si>
    <t>Cuenta No.</t>
  </si>
  <si>
    <t>Descripción de Cuenta</t>
  </si>
  <si>
    <t>EJECUCION</t>
  </si>
  <si>
    <t>TOTAL</t>
  </si>
  <si>
    <t xml:space="preserve">% </t>
  </si>
  <si>
    <t>%</t>
  </si>
  <si>
    <t>ENERO</t>
  </si>
  <si>
    <t>FEBRERO</t>
  </si>
  <si>
    <t>MARZO</t>
  </si>
  <si>
    <t>MAYO</t>
  </si>
  <si>
    <t>JUNIO</t>
  </si>
  <si>
    <t>JULIO</t>
  </si>
  <si>
    <t>EJECUTADO</t>
  </si>
  <si>
    <t>POR EJECUTAR</t>
  </si>
  <si>
    <t>2.1.1</t>
  </si>
  <si>
    <t>Sueldos fijos</t>
  </si>
  <si>
    <t>Compensación por gastos de alimentación</t>
  </si>
  <si>
    <t>Contribuciones al seguro de salud</t>
  </si>
  <si>
    <t>2.2.1</t>
  </si>
  <si>
    <t>.22.1.1.01</t>
  </si>
  <si>
    <t>Radiocomunicacion</t>
  </si>
  <si>
    <t>Teléfono local</t>
  </si>
  <si>
    <t>Servicio de internet y televisión por cable</t>
  </si>
  <si>
    <t>Agua</t>
  </si>
  <si>
    <t>Recolección de residuos sólidos</t>
  </si>
  <si>
    <t>2.2.2</t>
  </si>
  <si>
    <t>Publicidad y propaganda</t>
  </si>
  <si>
    <t>2.2.3</t>
  </si>
  <si>
    <t>Viáticos dentro del país</t>
  </si>
  <si>
    <t>Viáticos fuera del país</t>
  </si>
  <si>
    <t>2.2.4</t>
  </si>
  <si>
    <t>2.2.5</t>
  </si>
  <si>
    <t>Alquileres y rentas de edificios y locales</t>
  </si>
  <si>
    <t>2.2.6</t>
  </si>
  <si>
    <t>Seguro de bienes muebles</t>
  </si>
  <si>
    <t>2.2.7</t>
  </si>
  <si>
    <t>2.2.8</t>
  </si>
  <si>
    <t>.22.8.1.01</t>
  </si>
  <si>
    <t>Gastos Judiciales</t>
  </si>
  <si>
    <t xml:space="preserve">.22.8.9.03 </t>
  </si>
  <si>
    <t>Otros gastos operativos de instituciones empresariales</t>
  </si>
  <si>
    <t>2.3.1</t>
  </si>
  <si>
    <t>Alimentos para animales</t>
  </si>
  <si>
    <t>Medera, Corcho y su manufactura</t>
  </si>
  <si>
    <t>2.3.2</t>
  </si>
  <si>
    <t>Textiles y Vesturios</t>
  </si>
  <si>
    <t>.23.2.1.01</t>
  </si>
  <si>
    <t>Hilados y Telas</t>
  </si>
  <si>
    <t>.23.2.2.01</t>
  </si>
  <si>
    <t>Acabados textiles</t>
  </si>
  <si>
    <t>.23.2.3.01</t>
  </si>
  <si>
    <t>Prendas de Vestir</t>
  </si>
  <si>
    <t>.23.2.4.01</t>
  </si>
  <si>
    <t>Calzados</t>
  </si>
  <si>
    <t>2.3.5</t>
  </si>
  <si>
    <t>Llantas y neumáticos</t>
  </si>
  <si>
    <t>2.3.6</t>
  </si>
  <si>
    <t>.23.6.4.07</t>
  </si>
  <si>
    <t>Otros Minerales</t>
  </si>
  <si>
    <t>2.3.7</t>
  </si>
  <si>
    <t>Gasolina</t>
  </si>
  <si>
    <t>Gasoil</t>
  </si>
  <si>
    <t>Gas GLP</t>
  </si>
  <si>
    <t>.23.7.1.05</t>
  </si>
  <si>
    <t>Aceites y grasas</t>
  </si>
  <si>
    <t>Lubricantes</t>
  </si>
  <si>
    <t>2.3.9</t>
  </si>
  <si>
    <t>Productos eléctricos y afines</t>
  </si>
  <si>
    <t>.23.9.7.01</t>
  </si>
  <si>
    <t>Productos y Utiles Veterinarios</t>
  </si>
  <si>
    <t>.23.9.9.01</t>
  </si>
  <si>
    <t>Productos y Utiles Varios N.I.P</t>
  </si>
  <si>
    <t>2.4.1</t>
  </si>
  <si>
    <t>.24.1.1.01</t>
  </si>
  <si>
    <t>Pensiones</t>
  </si>
  <si>
    <t>Ayudas y donaciones programadas a hogares y personas</t>
  </si>
  <si>
    <t>2.6.1</t>
  </si>
  <si>
    <t>2.1.1.1.01</t>
  </si>
  <si>
    <t>2.1.1.4.01</t>
  </si>
  <si>
    <t>2.1.2.2.01</t>
  </si>
  <si>
    <t>2.1.5.1.01</t>
  </si>
  <si>
    <t>Contribuciones al seguro de Riesgo Laboral</t>
  </si>
  <si>
    <t>2.2.1.3.01</t>
  </si>
  <si>
    <t>2.2.1.5.01</t>
  </si>
  <si>
    <t>2.2.1.7.01</t>
  </si>
  <si>
    <t>2.2.1.8.01</t>
  </si>
  <si>
    <t>2.2.2.1.01</t>
  </si>
  <si>
    <t>2.2.3.1.01</t>
  </si>
  <si>
    <t>2.2.3.2.01</t>
  </si>
  <si>
    <t>2.2.4.1.01</t>
  </si>
  <si>
    <t>2.2.5.1.01</t>
  </si>
  <si>
    <t>2.2.5.8.01</t>
  </si>
  <si>
    <t>2.2.6.2.01</t>
  </si>
  <si>
    <t>2.2.7.2.06</t>
  </si>
  <si>
    <t>2.2.8.2.01</t>
  </si>
  <si>
    <t>2.2.8.7.06</t>
  </si>
  <si>
    <t>2.3.1.2.01</t>
  </si>
  <si>
    <t>2.3.1.4.01</t>
  </si>
  <si>
    <t>2.3.5.3.01</t>
  </si>
  <si>
    <t>2.3.5.5.01</t>
  </si>
  <si>
    <t>2.3.7.1.01</t>
  </si>
  <si>
    <t>2.3.7.1.02</t>
  </si>
  <si>
    <t>2.3.7.1.04</t>
  </si>
  <si>
    <t>2.3.7.1.06</t>
  </si>
  <si>
    <t>2.3.7.2.06</t>
  </si>
  <si>
    <t>2.3.9.1.01</t>
  </si>
  <si>
    <t>2.3.9.2.01</t>
  </si>
  <si>
    <t>2.3.9.4.01</t>
  </si>
  <si>
    <t>2.3.9.5.01</t>
  </si>
  <si>
    <t>2.3.9.6.01</t>
  </si>
  <si>
    <t>2.4.1.2.01</t>
  </si>
  <si>
    <t>2.4.1.4.01</t>
  </si>
  <si>
    <t>2.6.1.1.01</t>
  </si>
  <si>
    <t>2.1.3.2.01</t>
  </si>
  <si>
    <t>2.2.8.8.01</t>
  </si>
  <si>
    <t>Impuestos</t>
  </si>
  <si>
    <t>2.6.3.2.01</t>
  </si>
  <si>
    <t>Instrumental médico y de laboratorio</t>
  </si>
  <si>
    <t>2.2.9.2.01</t>
  </si>
  <si>
    <t>2.3.1.1.01</t>
  </si>
  <si>
    <t>EJECUTAR</t>
  </si>
  <si>
    <t>TOTAL POR</t>
  </si>
  <si>
    <t>2.6.1.4.01</t>
  </si>
  <si>
    <t>2.1.2.2.06</t>
  </si>
  <si>
    <t>2.6.1.3.01</t>
  </si>
  <si>
    <t>Equipos y Aparatos Audiovisuales</t>
  </si>
  <si>
    <t>2.6.2.1.01</t>
  </si>
  <si>
    <t>2.7.1.2.01</t>
  </si>
  <si>
    <t>Obras para edificación no residencial</t>
  </si>
  <si>
    <t>2.3.2.2.01</t>
  </si>
  <si>
    <t>2.3.2.3.01</t>
  </si>
  <si>
    <t>2.3.2.4.01</t>
  </si>
  <si>
    <t>2.3.7.2.99</t>
  </si>
  <si>
    <t>2.3.9.3.01</t>
  </si>
  <si>
    <t>2.3.9.8.01</t>
  </si>
  <si>
    <t>ABRIL</t>
  </si>
  <si>
    <t>2.3.7.1.05</t>
  </si>
  <si>
    <t>2.3.7.1.99</t>
  </si>
  <si>
    <t>Otros Combustibles</t>
  </si>
  <si>
    <t>Transferencias corrientes ocasionales a asociaciones sin fines de lucro</t>
  </si>
  <si>
    <t>2.4.1.6.05</t>
  </si>
  <si>
    <t>2.7.1</t>
  </si>
  <si>
    <t>2.4.1.2.05</t>
  </si>
  <si>
    <t>Subsidios para viviendas económicas</t>
  </si>
  <si>
    <t>Alimentos y bebidas para personas</t>
  </si>
  <si>
    <t>Otros productos químicos y conexos</t>
  </si>
  <si>
    <t>Repuestos</t>
  </si>
  <si>
    <t>Asignación</t>
  </si>
  <si>
    <t>Extrapresup.</t>
  </si>
  <si>
    <t>2.4.1.2.02</t>
  </si>
  <si>
    <t>Ayudas y donaciones ocasionales a hogares y personas</t>
  </si>
  <si>
    <t>2.1.5.3.01</t>
  </si>
  <si>
    <t>Becas nacionales</t>
  </si>
  <si>
    <t>2.6.9.3.03</t>
  </si>
  <si>
    <t>Pasajes y gastos de transporte</t>
  </si>
  <si>
    <t>Servicios de alimentación</t>
  </si>
  <si>
    <t>Prendas y accesorios de vestir</t>
  </si>
  <si>
    <t>2.4.4.1.02</t>
  </si>
  <si>
    <t>Equipos de tecnología de la información y comunicación</t>
  </si>
  <si>
    <t>2.8.5</t>
  </si>
  <si>
    <t>Aportes de capital al sector público</t>
  </si>
  <si>
    <t>Obras en edificaciones</t>
  </si>
  <si>
    <t>Aportes de capital al sector público no financiero</t>
  </si>
  <si>
    <t>2.8.5.2.01</t>
  </si>
  <si>
    <t>2.3.9.9.01</t>
  </si>
  <si>
    <t>Productos y Útiles Varios n.i.p</t>
  </si>
  <si>
    <t>SEPT.</t>
  </si>
  <si>
    <t>OCT.</t>
  </si>
  <si>
    <t>NOV.</t>
  </si>
  <si>
    <t>DIC.</t>
  </si>
  <si>
    <t>2.1.1.2.04</t>
  </si>
  <si>
    <t>Servicios especiales</t>
  </si>
  <si>
    <t>Incentivo por Rendimiento Individual</t>
  </si>
  <si>
    <t>2.1.2.2.13</t>
  </si>
  <si>
    <t>Muebles, equipos de oficina y estantería</t>
  </si>
  <si>
    <t>AGOST</t>
  </si>
  <si>
    <t>2.3.6.3.06</t>
  </si>
  <si>
    <t>2.4.1.6.06</t>
  </si>
  <si>
    <t>Transferencias corrientes a federaciones deportivas</t>
  </si>
  <si>
    <t>2.6.8.8.02</t>
  </si>
  <si>
    <t>Licencias Intelectuales</t>
  </si>
  <si>
    <t>Gastos de representación en el país</t>
  </si>
  <si>
    <t>Útiles menores médico quirúrgicos y de laboratorio</t>
  </si>
  <si>
    <t>2.3.9.9.04</t>
  </si>
  <si>
    <t>Productos metálicos</t>
  </si>
  <si>
    <t>Pinturas, lacas, barnices, diluyentes y absorbentes para pinturas</t>
  </si>
  <si>
    <t>Útiles y materiales de escritorio, oficina e informática</t>
  </si>
  <si>
    <t>Materiales de limpieza e higiene</t>
  </si>
  <si>
    <t>2.4.1.6.01</t>
  </si>
  <si>
    <t>Transferencias corrientes programadas a asociaciones sin fines de lucro</t>
  </si>
  <si>
    <t>2.2.5.9.01</t>
  </si>
  <si>
    <t>2.1.1.1.12</t>
  </si>
  <si>
    <t>ASIGNACIONES EXTRAPRESUPUESTARIA CORRESPONDIENTES AL AÑO 2021</t>
  </si>
  <si>
    <t>CUANTA</t>
  </si>
  <si>
    <t xml:space="preserve">DESCRIPCION DEL GASTO </t>
  </si>
  <si>
    <t>MONTO EN RD$</t>
  </si>
  <si>
    <t>COMPRA DE CHALECOS BALISTICOS</t>
  </si>
  <si>
    <t>MANT. Y REPARAC. DE AERONAVE</t>
  </si>
  <si>
    <t>GASOLINA</t>
  </si>
  <si>
    <t>MES DE MARZO</t>
  </si>
  <si>
    <t>CONTRIBUCIONES AL SEGURO DE SALUD</t>
  </si>
  <si>
    <t>CONTRIBUCIONES AL SEGURO DE RIESGO LABORAL</t>
  </si>
  <si>
    <t>2.6.2.3.01</t>
  </si>
  <si>
    <t>CAMARAS FOTOGRAFICAS Y DE VIDEO</t>
  </si>
  <si>
    <t>COMPENSACION POR GASTOS DE ALIMENTACION</t>
  </si>
  <si>
    <t>MES DE ENERO DE 2021</t>
  </si>
  <si>
    <t>MES DE FEBRERO DE 2021</t>
  </si>
  <si>
    <t>MES DE MARZO DE 2021</t>
  </si>
  <si>
    <t>MES DE ABRIL DE 2021</t>
  </si>
  <si>
    <t>SUELDOS FIJOS</t>
  </si>
  <si>
    <t>SUELDOS FIJOS POR CARGO AL PERSONAL MILITAR Y POLICIAL</t>
  </si>
  <si>
    <t>INCENTIVO POR RIESGO LABORAL AL PERSONAL MILITAR Y POLICIAL</t>
  </si>
  <si>
    <t>SOLICITADO EN MARZO</t>
  </si>
  <si>
    <t>LICENCIAS INFORMATICAS US$1,877,378.78  A RD$57.60</t>
  </si>
  <si>
    <t>MES DE AGOSTO DE 2021</t>
  </si>
  <si>
    <t>PRENDAS Y ACCESORIOS DE VESTIR</t>
  </si>
  <si>
    <t>CALZADOS</t>
  </si>
  <si>
    <t>MES DE SEPTIEMBRE DE 2021</t>
  </si>
  <si>
    <t>PRODUCTOS METALICOS (PLACAS METALICAS)</t>
  </si>
  <si>
    <t>2.6.4.1.01</t>
  </si>
  <si>
    <t>AUTOMOVILES Y CAMIONES</t>
  </si>
  <si>
    <t>PRODUCTOS METALICOS (DEFENSAS PARA CAMIONETAS</t>
  </si>
  <si>
    <t>GASOIL</t>
  </si>
  <si>
    <t>MES DE OCTUBRE DE 2021</t>
  </si>
  <si>
    <t>TOTAL GENEREAL ASIGNACIONES EXTRAP.,…….</t>
  </si>
  <si>
    <t>TOTAL ASIGNACIONES EXTRAP………..</t>
  </si>
  <si>
    <t>TOTAL GENERAL EN RD$,…………………….</t>
  </si>
  <si>
    <t>TOTAL GENERAL DE ASIGNACIONES PRESUPUESTARIAS POR CUENTAS</t>
  </si>
  <si>
    <t>PRODUCTOS METALICOS (DEFENSAS PARA CAMIONETAS)</t>
  </si>
  <si>
    <t>PRENDAS DE VESTIR</t>
  </si>
  <si>
    <t>LICENCIAS INFORMATICAS</t>
  </si>
  <si>
    <t>SUELDOS FIJO POR CARGO AL PERSONAL MILITAR Y POLICIAL</t>
  </si>
  <si>
    <t>MANTENIMIENTO Y REPARAC. DE EQUIPOS DE TRANSPORTE, TRACC. Y ELEV.</t>
  </si>
  <si>
    <t>PRODUCTOS Y UTILES DE DEFENSA  Y SEGURIDAD</t>
  </si>
  <si>
    <t>Nov.</t>
  </si>
  <si>
    <t>Enero</t>
  </si>
  <si>
    <t>Marzo</t>
  </si>
  <si>
    <t>Febrero</t>
  </si>
  <si>
    <t>Abril</t>
  </si>
  <si>
    <t>Mayo</t>
  </si>
  <si>
    <t>Junio</t>
  </si>
  <si>
    <t>Julio</t>
  </si>
  <si>
    <t>Agosto</t>
  </si>
  <si>
    <t>Sept.</t>
  </si>
  <si>
    <t>Oct.</t>
  </si>
  <si>
    <t>Gastos corrientes</t>
  </si>
  <si>
    <t>Sueldos</t>
  </si>
  <si>
    <t>Cont.seg. Salud</t>
  </si>
  <si>
    <t>Cont.riesgo lab.</t>
  </si>
  <si>
    <t>ASIG. EXTRAP.</t>
  </si>
  <si>
    <t>ASIG. PRESUP.</t>
  </si>
  <si>
    <t>TERRENOS URBANOS CON EDIFICACIONES</t>
  </si>
  <si>
    <t>% POR</t>
  </si>
  <si>
    <t>Electricidad no cortable</t>
  </si>
  <si>
    <t>EJECUCION PRESUPUESTARIA CORRESPONDIENTE AL AÑO 2022</t>
  </si>
  <si>
    <t>2.2.1.6.02</t>
  </si>
  <si>
    <t>Otros alquileres</t>
  </si>
  <si>
    <t>2.2.9</t>
  </si>
  <si>
    <t>Útiles destinados a actividades deportivas, culturales y recreativas</t>
  </si>
  <si>
    <t>Útiles de cocina y comedor</t>
  </si>
  <si>
    <t>Otras transferencias corrientes a empresas públicas no financieras nacionales</t>
  </si>
  <si>
    <t>2.6.1.2.01</t>
  </si>
  <si>
    <t>Muebles de alojamiento</t>
  </si>
  <si>
    <t>Electrodomésticos</t>
  </si>
  <si>
    <t>2.6.2</t>
  </si>
  <si>
    <t>MOBILIARIO Y EQUIPO AUDIOVISUAL, RECREATIVO YEDUCACIONAL</t>
  </si>
  <si>
    <t>2.6.3</t>
  </si>
  <si>
    <t>EQUIPO E INSTRUMENTAL, CIENTÍFICO Y LABORATORIO</t>
  </si>
  <si>
    <t>Incentivo por riesgo laboral al personal militar y policial</t>
  </si>
  <si>
    <t>Mantenimiento y reparación de equipos de transporte, tracción y elevación</t>
  </si>
  <si>
    <t>SERVICIOS NO INCLUIDOS EN CONCEPTOS ANTERIORES</t>
  </si>
  <si>
    <t>Comisiones y gastos</t>
  </si>
  <si>
    <t>Otros servicios técnicos profesionales</t>
  </si>
  <si>
    <t>OTRAS CONTRATACIONES DE SERVICIOS</t>
  </si>
  <si>
    <t>TEXTILES Y VESTUARIOS</t>
  </si>
  <si>
    <t>PRODUCTOS DE CUERO, CAUCHO Y PLÁSTICO</t>
  </si>
  <si>
    <t>PRODUCTOS DE MINERALES, METÁLICOS Y NO METÁLICOS</t>
  </si>
  <si>
    <t>2.6.8</t>
  </si>
  <si>
    <t>BIENES INTANGIBLES</t>
  </si>
  <si>
    <t>2.1.2.2.05</t>
  </si>
  <si>
    <t>Compensación servicios de seguridad</t>
  </si>
  <si>
    <t>2.2.7.2.05</t>
  </si>
  <si>
    <t>Mantenimiento y reparación de equipo de comunicación</t>
  </si>
  <si>
    <t>2.2.8.7.05</t>
  </si>
  <si>
    <t>Servicios de informática y sistemas computarizados</t>
  </si>
  <si>
    <t>Madera, corcho y sus manufacturas</t>
  </si>
  <si>
    <t>2.3.2.1.01</t>
  </si>
  <si>
    <t>Hilados, fibras y telas</t>
  </si>
  <si>
    <t>Libros, revistas y periódicos</t>
  </si>
  <si>
    <t>2.3.3.4.01</t>
  </si>
  <si>
    <t>2.3.3</t>
  </si>
  <si>
    <t>PRODUCTOS DE PAPEL, CARTÓN E IMPRESOS</t>
  </si>
  <si>
    <t>Productos medicinales para uso humano</t>
  </si>
  <si>
    <t>2.3.4.1.01</t>
  </si>
  <si>
    <t>2.3.4</t>
  </si>
  <si>
    <t>PRODUCTOS FARMACÉUTICOS</t>
  </si>
  <si>
    <t>2.3.7.2.03</t>
  </si>
  <si>
    <t>Productos químicos de uso personal y de laboratorios</t>
  </si>
  <si>
    <t>2.2.9.1.01</t>
  </si>
  <si>
    <t>Otras contrataciones de servicios</t>
  </si>
  <si>
    <t>Gasto Anual</t>
  </si>
  <si>
    <t>Año 2022</t>
  </si>
  <si>
    <t>Sueldo Anual No.13</t>
  </si>
  <si>
    <t>Impresión, encuadernación y rotulación</t>
  </si>
  <si>
    <t>2.2.2.2.01</t>
  </si>
  <si>
    <t>2.2.4.4.01</t>
  </si>
  <si>
    <t>Peaje</t>
  </si>
  <si>
    <t>2.2.8.7.04</t>
  </si>
  <si>
    <t>Servicios de capacitación</t>
  </si>
  <si>
    <t>2.3.3.1.01</t>
  </si>
  <si>
    <t>Papel de escritorio</t>
  </si>
  <si>
    <t>2.3.3.2.01</t>
  </si>
  <si>
    <t>Papel y cartón</t>
  </si>
  <si>
    <t>2.3.3.3.01</t>
  </si>
  <si>
    <t>Productos de artes gráficas</t>
  </si>
  <si>
    <t>Plástico</t>
  </si>
  <si>
    <t>2.3.9.2.02</t>
  </si>
  <si>
    <t>Útiles y materiales escolares y de enseñanzas</t>
  </si>
  <si>
    <t>Enc. Depto. de Contabilidad.</t>
  </si>
  <si>
    <t>2.1.3.2.02</t>
  </si>
  <si>
    <t>Gastos de representación en el exterior</t>
  </si>
  <si>
    <t>Licencias Informáticas</t>
  </si>
  <si>
    <t>2.2.7.2.02</t>
  </si>
  <si>
    <t>Mantenimiento y reparación de equipos de tecnología e información</t>
  </si>
  <si>
    <t>2.2.8.5.01</t>
  </si>
  <si>
    <t>Fumigación</t>
  </si>
  <si>
    <t>2.3.5.4.01</t>
  </si>
  <si>
    <t>Artículos de caucho</t>
  </si>
  <si>
    <t>2.3.6.2.01</t>
  </si>
  <si>
    <t>Productos de vidrio</t>
  </si>
  <si>
    <t>2.6.5</t>
  </si>
  <si>
    <t>Equipos de climatización</t>
  </si>
  <si>
    <t>MAQUINARIA, OTROS EQUIPOS Y HERRAMIENTAS</t>
  </si>
  <si>
    <t>2.6.5.4.02</t>
  </si>
  <si>
    <t>Equipo de comunicación, telecomunicaciones y señalización</t>
  </si>
  <si>
    <t>2.6.5.5.01</t>
  </si>
  <si>
    <t>Productos medicinales para uso veterinario</t>
  </si>
  <si>
    <t>2.3.4.2.01</t>
  </si>
  <si>
    <t>2.6.4</t>
  </si>
  <si>
    <t>Automóviles y camiones</t>
  </si>
  <si>
    <t>VEHÍCULOS Y EQUIPO DE TRANSPORTE, TRACCIÓN Y ELEVACIÓN</t>
  </si>
  <si>
    <t>2.6.4.8.01</t>
  </si>
  <si>
    <t>Otros equipos de transporte</t>
  </si>
  <si>
    <t>REMUNERACIONES</t>
  </si>
  <si>
    <t>SERVICIOS BÁSICOS</t>
  </si>
  <si>
    <t>PUBLICIDAD, IMPRESIÓN Y ENCUADERNACIÓN</t>
  </si>
  <si>
    <t>VIÁTICOS</t>
  </si>
  <si>
    <t>TRANSPORTE Y ALMACENAJE</t>
  </si>
  <si>
    <t>ALQUILERES Y RENTAS</t>
  </si>
  <si>
    <t>SEGUROS</t>
  </si>
  <si>
    <t>SERVICIOS DE CONSERVACIÓN, REPARACIONES MENORES E INSTALACIONES TEMPORALES</t>
  </si>
  <si>
    <t>ALIMENTOS Y PRODUCTOS AGROFORESTALES</t>
  </si>
  <si>
    <t>COMBUSTIBLES, LUBRICANTES, PRODUCTOS QUÍMICOS Y CONEXOS</t>
  </si>
  <si>
    <t>PRODUCTOS Y ÚTILES VARIOS</t>
  </si>
  <si>
    <t>TRANSFERENCIAS CORRIENTES AL SECTOR PRIVADO</t>
  </si>
  <si>
    <t>MOBILIARIO Y EQUIPO</t>
  </si>
  <si>
    <t>TOTAL SUELDOS Y  GASTOS OPERACIONALES,…………..</t>
  </si>
</sst>
</file>

<file path=xl/styles.xml><?xml version="1.0" encoding="utf-8"?>
<styleSheet xmlns="http://schemas.openxmlformats.org/spreadsheetml/2006/main">
  <numFmts count="34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-* #,##0.00\ _€_-;\-* #,##0.00\ _€_-;_-* &quot;-&quot;??\ _€_-;_-@_-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[$-1C0A]dddd\,\ dd&quot; de &quot;mmmm&quot; de &quot;yyyy"/>
    <numFmt numFmtId="179" formatCode="[$-1C0A]hh:mm:ss\ AM/PM"/>
    <numFmt numFmtId="180" formatCode="#,##0.000000000_);[Red]\(#,##0.000000000\)"/>
    <numFmt numFmtId="181" formatCode="#,##0.0000000000_);[Red]\(#,##0.0000000000\)"/>
    <numFmt numFmtId="182" formatCode="#,##0.00000000000_);[Red]\(#,##0.00000000000\)"/>
    <numFmt numFmtId="183" formatCode="#,##0.00000000_);[Red]\(#,##0.00000000\)"/>
    <numFmt numFmtId="184" formatCode="#,##0.0000000_);[Red]\(#,##0.0000000\)"/>
    <numFmt numFmtId="185" formatCode="#,##0.000000_);[Red]\(#,##0.000000\)"/>
    <numFmt numFmtId="186" formatCode="#,##0.00000_);[Red]\(#,##0.00000\)"/>
    <numFmt numFmtId="187" formatCode="#,##0.0000_);[Red]\(#,##0.0000\)"/>
    <numFmt numFmtId="188" formatCode="#,##0.000_);[Red]\(#,##0.000\)"/>
    <numFmt numFmtId="189" formatCode="#,##0.0_);[Red]\(#,##0.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u val="singleAccounting"/>
      <sz val="11"/>
      <color indexed="8"/>
      <name val="Calibri"/>
      <family val="2"/>
    </font>
    <font>
      <b/>
      <u val="doubleAccounting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u val="singleAccounting"/>
      <sz val="11"/>
      <color theme="1"/>
      <name val="Calibri"/>
      <family val="2"/>
    </font>
    <font>
      <b/>
      <u val="doubleAccounting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74">
    <xf numFmtId="0" fontId="0" fillId="0" borderId="0" xfId="0" applyFont="1" applyAlignment="1">
      <alignment/>
    </xf>
    <xf numFmtId="0" fontId="0" fillId="0" borderId="0" xfId="58" applyFill="1" applyBorder="1">
      <alignment/>
      <protection/>
    </xf>
    <xf numFmtId="0" fontId="0" fillId="0" borderId="0" xfId="58" applyBorder="1">
      <alignment/>
      <protection/>
    </xf>
    <xf numFmtId="0" fontId="0" fillId="0" borderId="0" xfId="58">
      <alignment/>
      <protection/>
    </xf>
    <xf numFmtId="0" fontId="0" fillId="0" borderId="0" xfId="58" applyFont="1">
      <alignment/>
      <protection/>
    </xf>
    <xf numFmtId="0" fontId="20" fillId="33" borderId="10" xfId="58" applyFont="1" applyFill="1" applyBorder="1" applyAlignment="1">
      <alignment horizontal="left"/>
      <protection/>
    </xf>
    <xf numFmtId="0" fontId="45" fillId="34" borderId="11" xfId="58" applyFont="1" applyFill="1" applyBorder="1">
      <alignment/>
      <protection/>
    </xf>
    <xf numFmtId="0" fontId="0" fillId="0" borderId="12" xfId="58" applyBorder="1">
      <alignment/>
      <protection/>
    </xf>
    <xf numFmtId="0" fontId="46" fillId="33" borderId="11" xfId="58" applyFont="1" applyFill="1" applyBorder="1">
      <alignment/>
      <protection/>
    </xf>
    <xf numFmtId="0" fontId="45" fillId="0" borderId="11" xfId="58" applyFont="1" applyFill="1" applyBorder="1">
      <alignment/>
      <protection/>
    </xf>
    <xf numFmtId="0" fontId="0" fillId="0" borderId="0" xfId="58" applyFill="1">
      <alignment/>
      <protection/>
    </xf>
    <xf numFmtId="0" fontId="0" fillId="0" borderId="12" xfId="58" applyFill="1" applyBorder="1">
      <alignment/>
      <protection/>
    </xf>
    <xf numFmtId="0" fontId="0" fillId="9" borderId="0" xfId="58" applyFill="1">
      <alignment/>
      <protection/>
    </xf>
    <xf numFmtId="0" fontId="0" fillId="0" borderId="0" xfId="58" applyFont="1" applyFill="1" applyBorder="1">
      <alignment/>
      <protection/>
    </xf>
    <xf numFmtId="0" fontId="45" fillId="34" borderId="11" xfId="58" applyFont="1" applyFill="1" applyBorder="1" applyAlignment="1">
      <alignment wrapText="1"/>
      <protection/>
    </xf>
    <xf numFmtId="0" fontId="0" fillId="0" borderId="0" xfId="58" applyFont="1" applyFill="1">
      <alignment/>
      <protection/>
    </xf>
    <xf numFmtId="0" fontId="47" fillId="0" borderId="0" xfId="58" applyFont="1">
      <alignment/>
      <protection/>
    </xf>
    <xf numFmtId="0" fontId="0" fillId="0" borderId="0" xfId="58" applyFont="1" applyBorder="1">
      <alignment/>
      <protection/>
    </xf>
    <xf numFmtId="10" fontId="0" fillId="0" borderId="0" xfId="58" applyNumberFormat="1" applyFont="1">
      <alignment/>
      <protection/>
    </xf>
    <xf numFmtId="40" fontId="0" fillId="0" borderId="0" xfId="58" applyNumberFormat="1" applyFont="1" applyBorder="1">
      <alignment/>
      <protection/>
    </xf>
    <xf numFmtId="0" fontId="44" fillId="33" borderId="11" xfId="58" applyFont="1" applyFill="1" applyBorder="1">
      <alignment/>
      <protection/>
    </xf>
    <xf numFmtId="40" fontId="0" fillId="0" borderId="0" xfId="58" applyNumberFormat="1" applyFont="1">
      <alignment/>
      <protection/>
    </xf>
    <xf numFmtId="0" fontId="45" fillId="34" borderId="11" xfId="57" applyFont="1" applyFill="1" applyBorder="1">
      <alignment/>
      <protection/>
    </xf>
    <xf numFmtId="0" fontId="45" fillId="0" borderId="11" xfId="57" applyFont="1" applyFill="1" applyBorder="1">
      <alignment/>
      <protection/>
    </xf>
    <xf numFmtId="0" fontId="0" fillId="0" borderId="11" xfId="57" applyFont="1" applyFill="1" applyBorder="1" applyAlignment="1">
      <alignment wrapText="1"/>
      <protection/>
    </xf>
    <xf numFmtId="0" fontId="0" fillId="0" borderId="11" xfId="58" applyFont="1" applyBorder="1" applyAlignment="1">
      <alignment horizontal="left"/>
      <protection/>
    </xf>
    <xf numFmtId="0" fontId="20" fillId="33" borderId="10" xfId="58" applyFont="1" applyFill="1" applyBorder="1" applyAlignment="1">
      <alignment horizontal="left" wrapText="1"/>
      <protection/>
    </xf>
    <xf numFmtId="0" fontId="44" fillId="0" borderId="0" xfId="58" applyFont="1" applyFill="1" applyBorder="1">
      <alignment/>
      <protection/>
    </xf>
    <xf numFmtId="40" fontId="0" fillId="0" borderId="0" xfId="58" applyNumberFormat="1">
      <alignment/>
      <protection/>
    </xf>
    <xf numFmtId="0" fontId="0" fillId="0" borderId="11" xfId="58" applyFont="1" applyBorder="1" applyAlignment="1">
      <alignment wrapText="1"/>
      <protection/>
    </xf>
    <xf numFmtId="0" fontId="45" fillId="0" borderId="11" xfId="57" applyFont="1" applyFill="1" applyBorder="1" applyAlignment="1">
      <alignment horizontal="left" vertical="center" wrapText="1"/>
      <protection/>
    </xf>
    <xf numFmtId="0" fontId="45" fillId="0" borderId="11" xfId="57" applyFont="1" applyFill="1" applyBorder="1" applyAlignment="1">
      <alignment wrapText="1"/>
      <protection/>
    </xf>
    <xf numFmtId="0" fontId="45" fillId="0" borderId="11" xfId="57" applyFont="1" applyFill="1" applyBorder="1" applyAlignment="1">
      <alignment horizontal="left" wrapText="1"/>
      <protection/>
    </xf>
    <xf numFmtId="0" fontId="46" fillId="33" borderId="11" xfId="58" applyFont="1" applyFill="1" applyBorder="1" applyAlignment="1">
      <alignment wrapText="1"/>
      <protection/>
    </xf>
    <xf numFmtId="0" fontId="22" fillId="0" borderId="11" xfId="57" applyFont="1" applyFill="1" applyBorder="1">
      <alignment/>
      <protection/>
    </xf>
    <xf numFmtId="0" fontId="45" fillId="34" borderId="11" xfId="58" applyFont="1" applyFill="1" applyBorder="1" applyAlignment="1">
      <alignment horizontal="left" vertical="center" wrapText="1"/>
      <protection/>
    </xf>
    <xf numFmtId="43" fontId="22" fillId="0" borderId="11" xfId="46" applyFont="1" applyBorder="1" applyAlignment="1">
      <alignment vertical="center"/>
    </xf>
    <xf numFmtId="0" fontId="44" fillId="33" borderId="11" xfId="58" applyFont="1" applyFill="1" applyBorder="1" applyAlignment="1">
      <alignment vertical="center"/>
      <protection/>
    </xf>
    <xf numFmtId="0" fontId="46" fillId="33" borderId="11" xfId="58" applyFont="1" applyFill="1" applyBorder="1" applyAlignment="1">
      <alignment horizontal="left" vertical="center" wrapText="1"/>
      <protection/>
    </xf>
    <xf numFmtId="0" fontId="45" fillId="0" borderId="11" xfId="57" applyFont="1" applyFill="1" applyBorder="1" applyAlignment="1">
      <alignment vertical="center" wrapText="1"/>
      <protection/>
    </xf>
    <xf numFmtId="43" fontId="22" fillId="34" borderId="11" xfId="46" applyFont="1" applyFill="1" applyBorder="1" applyAlignment="1">
      <alignment vertical="center"/>
    </xf>
    <xf numFmtId="43" fontId="22" fillId="0" borderId="11" xfId="46" applyFont="1" applyFill="1" applyBorder="1" applyAlignment="1">
      <alignment vertical="center"/>
    </xf>
    <xf numFmtId="43" fontId="22" fillId="4" borderId="11" xfId="46" applyFont="1" applyFill="1" applyBorder="1" applyAlignment="1">
      <alignment vertical="center"/>
    </xf>
    <xf numFmtId="43" fontId="0" fillId="0" borderId="11" xfId="46" applyFont="1" applyFill="1" applyBorder="1" applyAlignment="1">
      <alignment vertical="center"/>
    </xf>
    <xf numFmtId="43" fontId="0" fillId="34" borderId="11" xfId="46" applyFont="1" applyFill="1" applyBorder="1" applyAlignment="1">
      <alignment vertical="center"/>
    </xf>
    <xf numFmtId="0" fontId="0" fillId="34" borderId="11" xfId="58" applyFont="1" applyFill="1" applyBorder="1">
      <alignment/>
      <protection/>
    </xf>
    <xf numFmtId="40" fontId="22" fillId="4" borderId="11" xfId="58" applyNumberFormat="1" applyFont="1" applyFill="1" applyBorder="1" applyAlignment="1">
      <alignment vertical="center"/>
      <protection/>
    </xf>
    <xf numFmtId="10" fontId="22" fillId="4" borderId="11" xfId="58" applyNumberFormat="1" applyFont="1" applyFill="1" applyBorder="1" applyAlignment="1">
      <alignment vertical="center"/>
      <protection/>
    </xf>
    <xf numFmtId="40" fontId="22" fillId="2" borderId="11" xfId="58" applyNumberFormat="1" applyFont="1" applyFill="1" applyBorder="1" applyAlignment="1">
      <alignment vertical="center"/>
      <protection/>
    </xf>
    <xf numFmtId="10" fontId="22" fillId="2" borderId="11" xfId="58" applyNumberFormat="1" applyFont="1" applyFill="1" applyBorder="1" applyAlignment="1">
      <alignment vertical="center"/>
      <protection/>
    </xf>
    <xf numFmtId="43" fontId="20" fillId="0" borderId="11" xfId="46" applyFont="1" applyFill="1" applyBorder="1" applyAlignment="1">
      <alignment vertical="center"/>
    </xf>
    <xf numFmtId="43" fontId="39" fillId="0" borderId="11" xfId="46" applyFont="1" applyFill="1" applyBorder="1" applyAlignment="1">
      <alignment vertical="center"/>
    </xf>
    <xf numFmtId="40" fontId="22" fillId="0" borderId="11" xfId="58" applyNumberFormat="1" applyFont="1" applyFill="1" applyBorder="1" applyAlignment="1">
      <alignment vertical="center"/>
      <protection/>
    </xf>
    <xf numFmtId="40" fontId="39" fillId="0" borderId="11" xfId="58" applyNumberFormat="1" applyFont="1" applyFill="1" applyBorder="1" applyAlignment="1">
      <alignment vertical="center"/>
      <protection/>
    </xf>
    <xf numFmtId="40" fontId="22" fillId="10" borderId="11" xfId="58" applyNumberFormat="1" applyFont="1" applyFill="1" applyBorder="1" applyAlignment="1">
      <alignment vertical="center"/>
      <protection/>
    </xf>
    <xf numFmtId="43" fontId="22" fillId="7" borderId="11" xfId="46" applyFont="1" applyFill="1" applyBorder="1" applyAlignment="1">
      <alignment vertical="center"/>
    </xf>
    <xf numFmtId="43" fontId="22" fillId="0" borderId="11" xfId="46" applyFont="1" applyFill="1" applyBorder="1" applyAlignment="1">
      <alignment horizontal="center" vertical="center"/>
    </xf>
    <xf numFmtId="40" fontId="22" fillId="0" borderId="11" xfId="58" applyNumberFormat="1" applyFont="1" applyFill="1" applyBorder="1" applyAlignment="1">
      <alignment horizontal="center" vertical="center"/>
      <protection/>
    </xf>
    <xf numFmtId="40" fontId="22" fillId="0" borderId="11" xfId="58" applyNumberFormat="1" applyFont="1" applyBorder="1" applyAlignment="1">
      <alignment vertical="center"/>
      <protection/>
    </xf>
    <xf numFmtId="0" fontId="45" fillId="34" borderId="11" xfId="57" applyFont="1" applyFill="1" applyBorder="1" applyAlignment="1">
      <alignment horizontal="left" vertical="center" wrapText="1"/>
      <protection/>
    </xf>
    <xf numFmtId="0" fontId="45" fillId="34" borderId="11" xfId="58" applyFont="1" applyFill="1" applyBorder="1" applyAlignment="1">
      <alignment vertical="center" wrapText="1"/>
      <protection/>
    </xf>
    <xf numFmtId="43" fontId="0" fillId="0" borderId="0" xfId="46" applyFont="1" applyAlignment="1">
      <alignment/>
    </xf>
    <xf numFmtId="43" fontId="0" fillId="0" borderId="0" xfId="46" applyAlignment="1">
      <alignment/>
    </xf>
    <xf numFmtId="43" fontId="44" fillId="0" borderId="0" xfId="46" applyFont="1" applyBorder="1" applyAlignment="1">
      <alignment/>
    </xf>
    <xf numFmtId="43" fontId="0" fillId="0" borderId="0" xfId="46" applyFont="1" applyBorder="1" applyAlignment="1">
      <alignment/>
    </xf>
    <xf numFmtId="0" fontId="23" fillId="10" borderId="13" xfId="58" applyFont="1" applyFill="1" applyBorder="1" applyAlignment="1">
      <alignment horizontal="center" vertical="center" wrapText="1"/>
      <protection/>
    </xf>
    <xf numFmtId="0" fontId="20" fillId="10" borderId="13" xfId="58" applyFont="1" applyFill="1" applyBorder="1" applyAlignment="1">
      <alignment horizontal="center"/>
      <protection/>
    </xf>
    <xf numFmtId="0" fontId="20" fillId="10" borderId="0" xfId="58" applyFont="1" applyFill="1" applyBorder="1" applyAlignment="1">
      <alignment horizontal="center"/>
      <protection/>
    </xf>
    <xf numFmtId="0" fontId="20" fillId="10" borderId="14" xfId="58" applyFont="1" applyFill="1" applyBorder="1" applyAlignment="1">
      <alignment horizontal="center"/>
      <protection/>
    </xf>
    <xf numFmtId="43" fontId="20" fillId="33" borderId="10" xfId="46" applyFont="1" applyFill="1" applyBorder="1" applyAlignment="1">
      <alignment vertical="center"/>
    </xf>
    <xf numFmtId="43" fontId="20" fillId="33" borderId="11" xfId="46" applyFont="1" applyFill="1" applyBorder="1" applyAlignment="1">
      <alignment vertical="center"/>
    </xf>
    <xf numFmtId="40" fontId="20" fillId="33" borderId="15" xfId="58" applyNumberFormat="1" applyFont="1" applyFill="1" applyBorder="1" applyAlignment="1">
      <alignment vertical="center"/>
      <protection/>
    </xf>
    <xf numFmtId="10" fontId="20" fillId="33" borderId="10" xfId="58" applyNumberFormat="1" applyFont="1" applyFill="1" applyBorder="1" applyAlignment="1">
      <alignment vertical="center"/>
      <protection/>
    </xf>
    <xf numFmtId="40" fontId="20" fillId="33" borderId="10" xfId="58" applyNumberFormat="1" applyFont="1" applyFill="1" applyBorder="1" applyAlignment="1">
      <alignment vertical="center"/>
      <protection/>
    </xf>
    <xf numFmtId="40" fontId="20" fillId="33" borderId="11" xfId="58" applyNumberFormat="1" applyFont="1" applyFill="1" applyBorder="1" applyAlignment="1">
      <alignment vertical="center"/>
      <protection/>
    </xf>
    <xf numFmtId="10" fontId="20" fillId="33" borderId="11" xfId="58" applyNumberFormat="1" applyFont="1" applyFill="1" applyBorder="1" applyAlignment="1">
      <alignment vertical="center"/>
      <protection/>
    </xf>
    <xf numFmtId="10" fontId="22" fillId="33" borderId="11" xfId="58" applyNumberFormat="1" applyFont="1" applyFill="1" applyBorder="1" applyAlignment="1">
      <alignment vertical="center"/>
      <protection/>
    </xf>
    <xf numFmtId="43" fontId="46" fillId="11" borderId="11" xfId="46" applyFont="1" applyFill="1" applyBorder="1" applyAlignment="1">
      <alignment vertical="center"/>
    </xf>
    <xf numFmtId="40" fontId="20" fillId="11" borderId="11" xfId="58" applyNumberFormat="1" applyFont="1" applyFill="1" applyBorder="1" applyAlignment="1">
      <alignment vertical="center"/>
      <protection/>
    </xf>
    <xf numFmtId="10" fontId="20" fillId="11" borderId="11" xfId="58" applyNumberFormat="1" applyFont="1" applyFill="1" applyBorder="1" applyAlignment="1">
      <alignment vertical="center"/>
      <protection/>
    </xf>
    <xf numFmtId="40" fontId="46" fillId="11" borderId="11" xfId="58" applyNumberFormat="1" applyFont="1" applyFill="1" applyBorder="1" applyAlignment="1">
      <alignment vertical="center"/>
      <protection/>
    </xf>
    <xf numFmtId="10" fontId="46" fillId="11" borderId="11" xfId="58" applyNumberFormat="1" applyFont="1" applyFill="1" applyBorder="1" applyAlignment="1">
      <alignment vertical="center"/>
      <protection/>
    </xf>
    <xf numFmtId="40" fontId="22" fillId="34" borderId="0" xfId="58" applyNumberFormat="1" applyFont="1" applyFill="1" applyBorder="1">
      <alignment/>
      <protection/>
    </xf>
    <xf numFmtId="10" fontId="22" fillId="34" borderId="0" xfId="58" applyNumberFormat="1" applyFont="1" applyFill="1" applyBorder="1">
      <alignment/>
      <protection/>
    </xf>
    <xf numFmtId="0" fontId="0" fillId="34" borderId="11" xfId="58" applyFont="1" applyFill="1" applyBorder="1" applyAlignment="1">
      <alignment vertical="center"/>
      <protection/>
    </xf>
    <xf numFmtId="0" fontId="48" fillId="0" borderId="0" xfId="58" applyFont="1" applyBorder="1" applyAlignment="1">
      <alignment/>
      <protection/>
    </xf>
    <xf numFmtId="0" fontId="49" fillId="0" borderId="0" xfId="58" applyFont="1" applyBorder="1" applyAlignment="1">
      <alignment/>
      <protection/>
    </xf>
    <xf numFmtId="0" fontId="50" fillId="0" borderId="0" xfId="0" applyFont="1" applyAlignment="1">
      <alignment/>
    </xf>
    <xf numFmtId="43" fontId="50" fillId="0" borderId="0" xfId="46" applyFont="1" applyAlignment="1">
      <alignment/>
    </xf>
    <xf numFmtId="43" fontId="0" fillId="0" borderId="0" xfId="46" applyFont="1" applyAlignment="1">
      <alignment/>
    </xf>
    <xf numFmtId="43" fontId="44" fillId="0" borderId="16" xfId="46" applyFont="1" applyBorder="1" applyAlignment="1">
      <alignment/>
    </xf>
    <xf numFmtId="0" fontId="44" fillId="0" borderId="0" xfId="0" applyFont="1" applyAlignment="1">
      <alignment horizontal="right"/>
    </xf>
    <xf numFmtId="43" fontId="44" fillId="0" borderId="17" xfId="46" applyFont="1" applyBorder="1" applyAlignment="1">
      <alignment/>
    </xf>
    <xf numFmtId="0" fontId="0" fillId="34" borderId="0" xfId="0" applyFill="1" applyAlignment="1">
      <alignment/>
    </xf>
    <xf numFmtId="43" fontId="0" fillId="34" borderId="0" xfId="46" applyFont="1" applyFill="1" applyAlignment="1">
      <alignment/>
    </xf>
    <xf numFmtId="43" fontId="0" fillId="34" borderId="18" xfId="46" applyFont="1" applyFill="1" applyBorder="1" applyAlignment="1">
      <alignment/>
    </xf>
    <xf numFmtId="0" fontId="0" fillId="0" borderId="11" xfId="0" applyBorder="1" applyAlignment="1">
      <alignment/>
    </xf>
    <xf numFmtId="43" fontId="0" fillId="0" borderId="11" xfId="46" applyFont="1" applyBorder="1" applyAlignment="1">
      <alignment/>
    </xf>
    <xf numFmtId="0" fontId="0" fillId="34" borderId="11" xfId="0" applyFill="1" applyBorder="1" applyAlignment="1">
      <alignment/>
    </xf>
    <xf numFmtId="43" fontId="0" fillId="34" borderId="11" xfId="46" applyFont="1" applyFill="1" applyBorder="1" applyAlignment="1">
      <alignment/>
    </xf>
    <xf numFmtId="0" fontId="0" fillId="0" borderId="0" xfId="0" applyBorder="1" applyAlignment="1">
      <alignment/>
    </xf>
    <xf numFmtId="0" fontId="44" fillId="0" borderId="0" xfId="0" applyFont="1" applyFill="1" applyBorder="1" applyAlignment="1">
      <alignment horizontal="right"/>
    </xf>
    <xf numFmtId="0" fontId="44" fillId="34" borderId="0" xfId="0" applyFont="1" applyFill="1" applyAlignment="1">
      <alignment horizontal="right"/>
    </xf>
    <xf numFmtId="43" fontId="44" fillId="34" borderId="16" xfId="46" applyFont="1" applyFill="1" applyBorder="1" applyAlignment="1">
      <alignment/>
    </xf>
    <xf numFmtId="43" fontId="44" fillId="34" borderId="0" xfId="46" applyFont="1" applyFill="1" applyBorder="1" applyAlignment="1">
      <alignment/>
    </xf>
    <xf numFmtId="0" fontId="50" fillId="34" borderId="0" xfId="0" applyFont="1" applyFill="1" applyAlignment="1">
      <alignment/>
    </xf>
    <xf numFmtId="43" fontId="50" fillId="34" borderId="0" xfId="46" applyFont="1" applyFill="1" applyAlignment="1">
      <alignment/>
    </xf>
    <xf numFmtId="0" fontId="0" fillId="0" borderId="10" xfId="0" applyBorder="1" applyAlignment="1">
      <alignment/>
    </xf>
    <xf numFmtId="43" fontId="0" fillId="0" borderId="10" xfId="46" applyFont="1" applyBorder="1" applyAlignment="1">
      <alignment/>
    </xf>
    <xf numFmtId="0" fontId="0" fillId="0" borderId="11" xfId="57" applyFont="1" applyFill="1" applyBorder="1">
      <alignment/>
      <protection/>
    </xf>
    <xf numFmtId="43" fontId="0" fillId="0" borderId="0" xfId="46" applyBorder="1" applyAlignment="1">
      <alignment/>
    </xf>
    <xf numFmtId="43" fontId="48" fillId="0" borderId="0" xfId="46" applyFont="1" applyBorder="1" applyAlignment="1">
      <alignment/>
    </xf>
    <xf numFmtId="43" fontId="49" fillId="0" borderId="0" xfId="46" applyFont="1" applyBorder="1" applyAlignment="1">
      <alignment/>
    </xf>
    <xf numFmtId="43" fontId="0" fillId="0" borderId="0" xfId="46" applyFont="1" applyAlignment="1">
      <alignment/>
    </xf>
    <xf numFmtId="43" fontId="50" fillId="0" borderId="0" xfId="46" applyFont="1" applyBorder="1" applyAlignment="1">
      <alignment/>
    </xf>
    <xf numFmtId="43" fontId="0" fillId="34" borderId="0" xfId="46" applyFont="1" applyFill="1" applyAlignment="1">
      <alignment/>
    </xf>
    <xf numFmtId="43" fontId="50" fillId="34" borderId="0" xfId="46" applyFont="1" applyFill="1" applyAlignment="1">
      <alignment/>
    </xf>
    <xf numFmtId="43" fontId="51" fillId="0" borderId="0" xfId="46" applyFont="1" applyAlignment="1">
      <alignment/>
    </xf>
    <xf numFmtId="43" fontId="52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33" borderId="0" xfId="46" applyFont="1" applyFill="1" applyAlignment="1">
      <alignment/>
    </xf>
    <xf numFmtId="0" fontId="0" fillId="33" borderId="0" xfId="0" applyFill="1" applyAlignment="1">
      <alignment/>
    </xf>
    <xf numFmtId="43" fontId="0" fillId="34" borderId="10" xfId="46" applyFont="1" applyFill="1" applyBorder="1" applyAlignment="1">
      <alignment/>
    </xf>
    <xf numFmtId="10" fontId="0" fillId="0" borderId="0" xfId="58" applyNumberFormat="1">
      <alignment/>
      <protection/>
    </xf>
    <xf numFmtId="43" fontId="20" fillId="11" borderId="11" xfId="46" applyFont="1" applyFill="1" applyBorder="1" applyAlignment="1">
      <alignment vertical="center"/>
    </xf>
    <xf numFmtId="10" fontId="0" fillId="0" borderId="0" xfId="58" applyNumberFormat="1" applyFont="1" applyBorder="1">
      <alignment/>
      <protection/>
    </xf>
    <xf numFmtId="0" fontId="0" fillId="34" borderId="11" xfId="57" applyFont="1" applyFill="1" applyBorder="1">
      <alignment/>
      <protection/>
    </xf>
    <xf numFmtId="0" fontId="22" fillId="0" borderId="11" xfId="57" applyFont="1" applyFill="1" applyBorder="1" applyAlignment="1">
      <alignment vertical="center"/>
      <protection/>
    </xf>
    <xf numFmtId="0" fontId="45" fillId="34" borderId="11" xfId="57" applyFont="1" applyFill="1" applyBorder="1" applyAlignment="1">
      <alignment horizontal="left" vertical="center"/>
      <protection/>
    </xf>
    <xf numFmtId="0" fontId="44" fillId="33" borderId="11" xfId="58" applyFont="1" applyFill="1" applyBorder="1" applyAlignment="1">
      <alignment horizontal="left" vertical="center" wrapText="1"/>
      <protection/>
    </xf>
    <xf numFmtId="0" fontId="44" fillId="33" borderId="11" xfId="58" applyFont="1" applyFill="1" applyBorder="1" applyAlignment="1">
      <alignment vertical="center" wrapText="1"/>
      <protection/>
    </xf>
    <xf numFmtId="40" fontId="22" fillId="33" borderId="11" xfId="58" applyNumberFormat="1" applyFont="1" applyFill="1" applyBorder="1" applyAlignment="1">
      <alignment vertical="center"/>
      <protection/>
    </xf>
    <xf numFmtId="40" fontId="22" fillId="34" borderId="11" xfId="58" applyNumberFormat="1" applyFont="1" applyFill="1" applyBorder="1" applyAlignment="1">
      <alignment vertical="center"/>
      <protection/>
    </xf>
    <xf numFmtId="10" fontId="22" fillId="34" borderId="11" xfId="58" applyNumberFormat="1" applyFont="1" applyFill="1" applyBorder="1" applyAlignment="1">
      <alignment vertical="center"/>
      <protection/>
    </xf>
    <xf numFmtId="40" fontId="20" fillId="34" borderId="11" xfId="58" applyNumberFormat="1" applyFont="1" applyFill="1" applyBorder="1" applyAlignment="1">
      <alignment vertical="center"/>
      <protection/>
    </xf>
    <xf numFmtId="43" fontId="22" fillId="34" borderId="11" xfId="58" applyNumberFormat="1" applyFont="1" applyFill="1" applyBorder="1" applyAlignment="1">
      <alignment vertical="center"/>
      <protection/>
    </xf>
    <xf numFmtId="43" fontId="47" fillId="0" borderId="0" xfId="58" applyNumberFormat="1" applyFont="1">
      <alignment/>
      <protection/>
    </xf>
    <xf numFmtId="0" fontId="0" fillId="0" borderId="11" xfId="58" applyFont="1" applyFill="1" applyBorder="1">
      <alignment/>
      <protection/>
    </xf>
    <xf numFmtId="43" fontId="0" fillId="0" borderId="0" xfId="58" applyNumberFormat="1">
      <alignment/>
      <protection/>
    </xf>
    <xf numFmtId="0" fontId="23" fillId="10" borderId="19" xfId="58" applyFont="1" applyFill="1" applyBorder="1" applyAlignment="1">
      <alignment horizontal="center" vertical="center" wrapText="1"/>
      <protection/>
    </xf>
    <xf numFmtId="0" fontId="23" fillId="10" borderId="20" xfId="58" applyFont="1" applyFill="1" applyBorder="1" applyAlignment="1">
      <alignment horizontal="center" vertical="center" wrapText="1"/>
      <protection/>
    </xf>
    <xf numFmtId="49" fontId="23" fillId="10" borderId="14" xfId="46" applyNumberFormat="1" applyFont="1" applyFill="1" applyBorder="1" applyAlignment="1">
      <alignment horizontal="center" vertical="center" wrapText="1"/>
    </xf>
    <xf numFmtId="0" fontId="0" fillId="34" borderId="11" xfId="57" applyFont="1" applyFill="1" applyBorder="1" applyAlignment="1">
      <alignment vertical="center"/>
      <protection/>
    </xf>
    <xf numFmtId="0" fontId="0" fillId="34" borderId="11" xfId="57" applyFont="1" applyFill="1" applyBorder="1">
      <alignment/>
      <protection/>
    </xf>
    <xf numFmtId="0" fontId="0" fillId="0" borderId="11" xfId="57" applyFont="1" applyFill="1" applyBorder="1" applyAlignment="1">
      <alignment vertical="center"/>
      <protection/>
    </xf>
    <xf numFmtId="0" fontId="0" fillId="0" borderId="11" xfId="57" applyFont="1" applyFill="1" applyBorder="1">
      <alignment/>
      <protection/>
    </xf>
    <xf numFmtId="0" fontId="44" fillId="33" borderId="11" xfId="58" applyFont="1" applyFill="1" applyBorder="1" applyAlignment="1">
      <alignment wrapText="1"/>
      <protection/>
    </xf>
    <xf numFmtId="0" fontId="47" fillId="0" borderId="0" xfId="58" applyFont="1" applyBorder="1">
      <alignment/>
      <protection/>
    </xf>
    <xf numFmtId="0" fontId="44" fillId="33" borderId="11" xfId="58" applyFont="1" applyFill="1" applyBorder="1" applyAlignment="1">
      <alignment horizontal="left" wrapText="1"/>
      <protection/>
    </xf>
    <xf numFmtId="0" fontId="46" fillId="33" borderId="11" xfId="58" applyFont="1" applyFill="1" applyBorder="1" applyAlignment="1">
      <alignment vertical="center" wrapText="1"/>
      <protection/>
    </xf>
    <xf numFmtId="0" fontId="20" fillId="10" borderId="13" xfId="58" applyFont="1" applyFill="1" applyBorder="1" applyAlignment="1">
      <alignment horizontal="center" vertical="center" wrapText="1"/>
      <protection/>
    </xf>
    <xf numFmtId="0" fontId="20" fillId="10" borderId="14" xfId="58" applyFont="1" applyFill="1" applyBorder="1" applyAlignment="1">
      <alignment horizontal="center" vertical="center" wrapText="1"/>
      <protection/>
    </xf>
    <xf numFmtId="0" fontId="48" fillId="0" borderId="0" xfId="58" applyFont="1" applyBorder="1" applyAlignment="1">
      <alignment horizontal="center"/>
      <protection/>
    </xf>
    <xf numFmtId="0" fontId="44" fillId="11" borderId="21" xfId="58" applyFont="1" applyFill="1" applyBorder="1" applyAlignment="1">
      <alignment horizontal="right"/>
      <protection/>
    </xf>
    <xf numFmtId="0" fontId="44" fillId="11" borderId="22" xfId="58" applyFont="1" applyFill="1" applyBorder="1" applyAlignment="1">
      <alignment horizontal="right"/>
      <protection/>
    </xf>
    <xf numFmtId="0" fontId="48" fillId="10" borderId="23" xfId="0" applyFont="1" applyFill="1" applyBorder="1" applyAlignment="1">
      <alignment horizontal="center" vertical="center"/>
    </xf>
    <xf numFmtId="0" fontId="48" fillId="10" borderId="24" xfId="0" applyFont="1" applyFill="1" applyBorder="1" applyAlignment="1">
      <alignment horizontal="center" vertical="center"/>
    </xf>
    <xf numFmtId="0" fontId="48" fillId="10" borderId="25" xfId="0" applyFont="1" applyFill="1" applyBorder="1" applyAlignment="1">
      <alignment horizontal="center" vertical="center"/>
    </xf>
    <xf numFmtId="0" fontId="3" fillId="0" borderId="0" xfId="55" applyFont="1" applyAlignment="1">
      <alignment horizontal="center" vertical="center"/>
      <protection/>
    </xf>
    <xf numFmtId="0" fontId="23" fillId="10" borderId="26" xfId="58" applyFont="1" applyFill="1" applyBorder="1" applyAlignment="1">
      <alignment horizontal="center" vertical="center"/>
      <protection/>
    </xf>
    <xf numFmtId="0" fontId="23" fillId="10" borderId="27" xfId="58" applyFont="1" applyFill="1" applyBorder="1" applyAlignment="1">
      <alignment horizontal="center" vertical="center"/>
      <protection/>
    </xf>
    <xf numFmtId="0" fontId="0" fillId="0" borderId="0" xfId="58" applyBorder="1" applyAlignment="1">
      <alignment horizontal="center"/>
      <protection/>
    </xf>
    <xf numFmtId="0" fontId="49" fillId="0" borderId="0" xfId="58" applyFont="1" applyBorder="1" applyAlignment="1">
      <alignment horizontal="center"/>
      <protection/>
    </xf>
    <xf numFmtId="0" fontId="50" fillId="34" borderId="0" xfId="0" applyFont="1" applyFill="1" applyAlignment="1">
      <alignment horizontal="center"/>
    </xf>
    <xf numFmtId="0" fontId="50" fillId="8" borderId="23" xfId="0" applyFont="1" applyFill="1" applyBorder="1" applyAlignment="1">
      <alignment horizontal="center"/>
    </xf>
    <xf numFmtId="0" fontId="50" fillId="8" borderId="24" xfId="0" applyFont="1" applyFill="1" applyBorder="1" applyAlignment="1">
      <alignment horizontal="center"/>
    </xf>
    <xf numFmtId="0" fontId="50" fillId="8" borderId="25" xfId="0" applyFont="1" applyFill="1" applyBorder="1" applyAlignment="1">
      <alignment horizontal="center"/>
    </xf>
    <xf numFmtId="0" fontId="50" fillId="34" borderId="23" xfId="0" applyFont="1" applyFill="1" applyBorder="1" applyAlignment="1">
      <alignment horizontal="center"/>
    </xf>
    <xf numFmtId="0" fontId="50" fillId="34" borderId="24" xfId="0" applyFont="1" applyFill="1" applyBorder="1" applyAlignment="1">
      <alignment horizontal="center"/>
    </xf>
    <xf numFmtId="0" fontId="50" fillId="34" borderId="25" xfId="0" applyFont="1" applyFill="1" applyBorder="1" applyAlignment="1">
      <alignment horizontal="center"/>
    </xf>
    <xf numFmtId="0" fontId="50" fillId="0" borderId="23" xfId="0" applyFont="1" applyBorder="1" applyAlignment="1">
      <alignment horizontal="center"/>
    </xf>
    <xf numFmtId="0" fontId="50" fillId="0" borderId="24" xfId="0" applyFont="1" applyBorder="1" applyAlignment="1">
      <alignment horizontal="center"/>
    </xf>
    <xf numFmtId="0" fontId="50" fillId="0" borderId="25" xfId="0" applyFont="1" applyBorder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Millares 5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rmal 4 2" xfId="58"/>
    <cellStyle name="Normal 4 3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438150</xdr:colOff>
      <xdr:row>0</xdr:row>
      <xdr:rowOff>19050</xdr:rowOff>
    </xdr:from>
    <xdr:to>
      <xdr:col>7</xdr:col>
      <xdr:colOff>200025</xdr:colOff>
      <xdr:row>4</xdr:row>
      <xdr:rowOff>9525</xdr:rowOff>
    </xdr:to>
    <xdr:pic>
      <xdr:nvPicPr>
        <xdr:cNvPr id="1" name="il_fi" descr="http://www.cosasdelcibao.net/wp-content/uploads/2009/11/dncd-logo-new-261x3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19050"/>
          <a:ext cx="771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157</xdr:row>
      <xdr:rowOff>133350</xdr:rowOff>
    </xdr:from>
    <xdr:to>
      <xdr:col>8</xdr:col>
      <xdr:colOff>400050</xdr:colOff>
      <xdr:row>167</xdr:row>
      <xdr:rowOff>57150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00850" y="31061025"/>
          <a:ext cx="328612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1952625</xdr:colOff>
      <xdr:row>0</xdr:row>
      <xdr:rowOff>19050</xdr:rowOff>
    </xdr:from>
    <xdr:to>
      <xdr:col>1</xdr:col>
      <xdr:colOff>2619375</xdr:colOff>
      <xdr:row>3</xdr:row>
      <xdr:rowOff>180975</xdr:rowOff>
    </xdr:to>
    <xdr:pic>
      <xdr:nvPicPr>
        <xdr:cNvPr id="1" name="il_fi" descr="http://www.cosasdelcibao.net/wp-content/uploads/2009/11/dncd-logo-new-261x3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9050"/>
          <a:ext cx="666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D173"/>
  <sheetViews>
    <sheetView tabSelected="1" zoomScale="85" zoomScaleNormal="85" zoomScalePageLayoutView="0" workbookViewId="0" topLeftCell="C146">
      <selection activeCell="I166" sqref="I166"/>
    </sheetView>
  </sheetViews>
  <sheetFormatPr defaultColWidth="11.421875" defaultRowHeight="15"/>
  <cols>
    <col min="1" max="1" width="9.57421875" style="4" customWidth="1"/>
    <col min="2" max="2" width="44.00390625" style="4" customWidth="1"/>
    <col min="3" max="3" width="16.8515625" style="120" bestFit="1" customWidth="1"/>
    <col min="4" max="4" width="14.28125" style="17" bestFit="1" customWidth="1"/>
    <col min="5" max="9" width="15.140625" style="17" bestFit="1" customWidth="1"/>
    <col min="10" max="10" width="6.57421875" style="17" bestFit="1" customWidth="1"/>
    <col min="11" max="11" width="6.00390625" style="17" bestFit="1" customWidth="1"/>
    <col min="12" max="12" width="7.140625" style="17" customWidth="1"/>
    <col min="13" max="13" width="5.7109375" style="17" bestFit="1" customWidth="1"/>
    <col min="14" max="14" width="5.140625" style="17" bestFit="1" customWidth="1"/>
    <col min="15" max="15" width="5.7109375" style="17" bestFit="1" customWidth="1"/>
    <col min="16" max="16" width="5.140625" style="17" bestFit="1" customWidth="1"/>
    <col min="17" max="17" width="14.57421875" style="17" bestFit="1" customWidth="1"/>
    <col min="18" max="18" width="11.7109375" style="17" bestFit="1" customWidth="1"/>
    <col min="19" max="19" width="15.00390625" style="4" hidden="1" customWidth="1"/>
    <col min="20" max="20" width="13.8515625" style="4" hidden="1" customWidth="1"/>
    <col min="21" max="21" width="16.8515625" style="17" bestFit="1" customWidth="1"/>
    <col min="22" max="22" width="9.8515625" style="17" bestFit="1" customWidth="1"/>
    <col min="23" max="23" width="20.140625" style="4" bestFit="1" customWidth="1"/>
    <col min="24" max="24" width="13.8515625" style="4" bestFit="1" customWidth="1"/>
    <col min="25" max="28" width="11.421875" style="4" customWidth="1"/>
    <col min="29" max="29" width="11.421875" style="17" customWidth="1"/>
    <col min="30" max="16384" width="11.421875" style="4" customWidth="1"/>
  </cols>
  <sheetData>
    <row r="1" ht="15"/>
    <row r="2" ht="15"/>
    <row r="3" spans="1:22" ht="15">
      <c r="A3" s="2"/>
      <c r="B3" s="162"/>
      <c r="C3" s="6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3"/>
      <c r="U3" s="2"/>
      <c r="V3" s="2"/>
    </row>
    <row r="4" spans="1:22" ht="19.5" customHeight="1">
      <c r="A4" s="2"/>
      <c r="B4" s="162"/>
      <c r="C4" s="6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3"/>
      <c r="U4" s="2"/>
      <c r="V4" s="2"/>
    </row>
    <row r="5" spans="1:22" ht="18.75">
      <c r="A5" s="153" t="s">
        <v>0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</row>
    <row r="6" spans="1:22" ht="21">
      <c r="A6" s="163" t="s">
        <v>1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</row>
    <row r="7" spans="1:22" ht="16.5" customHeight="1">
      <c r="A7" s="153" t="s">
        <v>2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</row>
    <row r="8" spans="1:22" ht="21">
      <c r="A8" s="163" t="s">
        <v>3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</row>
    <row r="9" spans="1:22" ht="18.75">
      <c r="A9" s="153" t="s">
        <v>258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</row>
    <row r="10" spans="1:22" ht="6" customHeight="1">
      <c r="A10" s="2"/>
      <c r="B10" s="2"/>
      <c r="C10" s="6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3"/>
      <c r="T10" s="3"/>
      <c r="U10" s="2"/>
      <c r="V10" s="2"/>
    </row>
    <row r="11" spans="1:22" ht="6" customHeight="1">
      <c r="A11" s="2"/>
      <c r="B11" s="2"/>
      <c r="C11" s="6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3"/>
      <c r="T11" s="3"/>
      <c r="U11" s="2"/>
      <c r="V11" s="2"/>
    </row>
    <row r="12" spans="1:22" ht="6" customHeight="1" thickBot="1">
      <c r="A12" s="2"/>
      <c r="B12" s="2"/>
      <c r="C12" s="6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3"/>
      <c r="T12" s="3"/>
      <c r="U12" s="2"/>
      <c r="V12" s="2"/>
    </row>
    <row r="13" spans="1:22" ht="19.5" customHeight="1" thickBot="1">
      <c r="A13" s="151" t="s">
        <v>4</v>
      </c>
      <c r="B13" s="160" t="s">
        <v>5</v>
      </c>
      <c r="C13" s="65" t="s">
        <v>304</v>
      </c>
      <c r="D13" s="140" t="s">
        <v>151</v>
      </c>
      <c r="E13" s="156" t="s">
        <v>6</v>
      </c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8"/>
      <c r="Q13" s="66" t="s">
        <v>7</v>
      </c>
      <c r="R13" s="66" t="s">
        <v>8</v>
      </c>
      <c r="S13" s="67" t="s">
        <v>7</v>
      </c>
      <c r="T13" s="67" t="s">
        <v>9</v>
      </c>
      <c r="U13" s="66" t="s">
        <v>125</v>
      </c>
      <c r="V13" s="66" t="s">
        <v>256</v>
      </c>
    </row>
    <row r="14" spans="1:22" ht="15" customHeight="1" thickBot="1">
      <c r="A14" s="152"/>
      <c r="B14" s="161"/>
      <c r="C14" s="142" t="s">
        <v>305</v>
      </c>
      <c r="D14" s="141" t="s">
        <v>152</v>
      </c>
      <c r="E14" s="68" t="s">
        <v>10</v>
      </c>
      <c r="F14" s="68" t="s">
        <v>11</v>
      </c>
      <c r="G14" s="68" t="s">
        <v>12</v>
      </c>
      <c r="H14" s="68" t="s">
        <v>139</v>
      </c>
      <c r="I14" s="68" t="s">
        <v>13</v>
      </c>
      <c r="J14" s="68" t="s">
        <v>14</v>
      </c>
      <c r="K14" s="68" t="s">
        <v>15</v>
      </c>
      <c r="L14" s="68" t="s">
        <v>179</v>
      </c>
      <c r="M14" s="68" t="s">
        <v>170</v>
      </c>
      <c r="N14" s="68" t="s">
        <v>171</v>
      </c>
      <c r="O14" s="68" t="s">
        <v>172</v>
      </c>
      <c r="P14" s="68" t="s">
        <v>173</v>
      </c>
      <c r="Q14" s="68" t="s">
        <v>16</v>
      </c>
      <c r="R14" s="68" t="s">
        <v>16</v>
      </c>
      <c r="S14" s="67" t="s">
        <v>17</v>
      </c>
      <c r="T14" s="67" t="s">
        <v>17</v>
      </c>
      <c r="U14" s="68" t="s">
        <v>124</v>
      </c>
      <c r="V14" s="68" t="s">
        <v>124</v>
      </c>
    </row>
    <row r="15" spans="1:22" ht="15">
      <c r="A15" s="26" t="s">
        <v>18</v>
      </c>
      <c r="B15" s="5" t="s">
        <v>347</v>
      </c>
      <c r="C15" s="69">
        <f>+C16+C17+C18+C19+C20+C21+C22+C23+C25+C26</f>
        <v>1282443724.24</v>
      </c>
      <c r="D15" s="69">
        <f>+D16+D17+D18+D19+D20+D21+D22+D23+D24+D25+D26</f>
        <v>0</v>
      </c>
      <c r="E15" s="69">
        <f>+E16+E17+E18+E19+E21+E22+E23+E25+E26</f>
        <v>104147051.1</v>
      </c>
      <c r="F15" s="69">
        <f>+F16+F17+F18+F19+F20+F21+F22+F23+F25+F26</f>
        <v>103766706.87</v>
      </c>
      <c r="G15" s="69">
        <f>+G16+G17+G18+G19+G20+G21+G22+G23+G25+G26</f>
        <v>103493030.42999999</v>
      </c>
      <c r="H15" s="69">
        <f>+H16+H17+H18+H19+H20+H21+H22+H23+H24+H25+H26</f>
        <v>103633355.28999999</v>
      </c>
      <c r="I15" s="69">
        <f>+I16+I17+I18+I19+I20+I21+I22+I23+I24+I25+I26</f>
        <v>104763674.80999999</v>
      </c>
      <c r="J15" s="69">
        <f aca="true" t="shared" si="0" ref="J15:P15">+J16+J17+J18+J19+J21+J22+J23+J25+J26</f>
        <v>0</v>
      </c>
      <c r="K15" s="69">
        <f t="shared" si="0"/>
        <v>0</v>
      </c>
      <c r="L15" s="69">
        <f t="shared" si="0"/>
        <v>0</v>
      </c>
      <c r="M15" s="69">
        <f t="shared" si="0"/>
        <v>0</v>
      </c>
      <c r="N15" s="69">
        <f t="shared" si="0"/>
        <v>0</v>
      </c>
      <c r="O15" s="69">
        <f t="shared" si="0"/>
        <v>0</v>
      </c>
      <c r="P15" s="69">
        <f t="shared" si="0"/>
        <v>0</v>
      </c>
      <c r="Q15" s="71">
        <f>SUM(E15:P15)</f>
        <v>519803818.49999994</v>
      </c>
      <c r="R15" s="72">
        <f>+Q15/(C15+D15)</f>
        <v>0.4053229070991363</v>
      </c>
      <c r="S15" s="73">
        <f>SUM(S16:S26)</f>
        <v>762653813.0300001</v>
      </c>
      <c r="T15" s="72">
        <f aca="true" t="shared" si="1" ref="T15:T27">+S15/C15</f>
        <v>0.5946879372675499</v>
      </c>
      <c r="U15" s="74">
        <f>+U16+U17+U18+U19+U20+U21+U22+U23+U24+U25+U26</f>
        <v>762653813.0300001</v>
      </c>
      <c r="V15" s="72">
        <f aca="true" t="shared" si="2" ref="V15:V27">+U15/C15</f>
        <v>0.5946879372675499</v>
      </c>
    </row>
    <row r="16" spans="1:29" ht="15">
      <c r="A16" s="127" t="s">
        <v>81</v>
      </c>
      <c r="B16" s="22" t="s">
        <v>19</v>
      </c>
      <c r="C16" s="40">
        <f>1049085379.44-500000-91200000-100000-1660000-465500</f>
        <v>955159879.44</v>
      </c>
      <c r="D16" s="41"/>
      <c r="E16" s="41">
        <v>75431511.06</v>
      </c>
      <c r="F16" s="40">
        <v>75291140.46</v>
      </c>
      <c r="G16" s="40">
        <v>75205004.38</v>
      </c>
      <c r="H16" s="40">
        <v>75189681.1</v>
      </c>
      <c r="I16" s="40">
        <v>75702786.02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133">
        <f>SUM(E16:P16)</f>
        <v>376820123.02</v>
      </c>
      <c r="R16" s="134">
        <f>+Q16/(C16+D16)</f>
        <v>0.3945099989343413</v>
      </c>
      <c r="S16" s="133">
        <f aca="true" t="shared" si="3" ref="S16:S26">+C16-Q16</f>
        <v>578339756.4200001</v>
      </c>
      <c r="T16" s="134">
        <f t="shared" si="1"/>
        <v>0.6054900010656588</v>
      </c>
      <c r="U16" s="133">
        <f>+C16+D16-Q16</f>
        <v>578339756.4200001</v>
      </c>
      <c r="V16" s="134">
        <f t="shared" si="2"/>
        <v>0.6054900010656588</v>
      </c>
      <c r="W16" s="3"/>
      <c r="X16" s="3"/>
      <c r="Y16" s="3"/>
      <c r="Z16" s="3"/>
      <c r="AA16" s="3"/>
      <c r="AB16" s="3"/>
      <c r="AC16" s="2"/>
    </row>
    <row r="17" spans="1:29" ht="15">
      <c r="A17" s="144" t="s">
        <v>174</v>
      </c>
      <c r="B17" s="22" t="s">
        <v>175</v>
      </c>
      <c r="C17" s="40">
        <v>144000000</v>
      </c>
      <c r="D17" s="41"/>
      <c r="E17" s="41">
        <v>16400000</v>
      </c>
      <c r="F17" s="40">
        <v>15800000</v>
      </c>
      <c r="G17" s="40">
        <v>15800000</v>
      </c>
      <c r="H17" s="40">
        <v>15800000</v>
      </c>
      <c r="I17" s="40">
        <v>16150000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133">
        <f aca="true" t="shared" si="4" ref="Q17:Q26">SUM(E17:P17)</f>
        <v>79950000</v>
      </c>
      <c r="R17" s="134">
        <f aca="true" t="shared" si="5" ref="R17:R26">+Q17/(C17+D17)</f>
        <v>0.5552083333333333</v>
      </c>
      <c r="S17" s="133">
        <f t="shared" si="3"/>
        <v>64050000</v>
      </c>
      <c r="T17" s="134">
        <f t="shared" si="1"/>
        <v>0.44479166666666664</v>
      </c>
      <c r="U17" s="133">
        <f>+C17+D17-Q17</f>
        <v>64050000</v>
      </c>
      <c r="V17" s="134">
        <f t="shared" si="2"/>
        <v>0.44479166666666664</v>
      </c>
      <c r="W17" s="3"/>
      <c r="X17" s="3"/>
      <c r="Y17" s="3"/>
      <c r="Z17" s="3"/>
      <c r="AA17" s="3"/>
      <c r="AB17" s="3"/>
      <c r="AC17" s="2"/>
    </row>
    <row r="18" spans="1:29" ht="15">
      <c r="A18" s="144" t="s">
        <v>82</v>
      </c>
      <c r="B18" s="22" t="s">
        <v>306</v>
      </c>
      <c r="C18" s="40">
        <v>34138799</v>
      </c>
      <c r="D18" s="41"/>
      <c r="E18" s="41">
        <v>0</v>
      </c>
      <c r="F18" s="40">
        <v>16866.67</v>
      </c>
      <c r="G18" s="40">
        <v>39375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133">
        <f>SUM(E18:P18)</f>
        <v>56241.67</v>
      </c>
      <c r="R18" s="134">
        <f t="shared" si="5"/>
        <v>0.001647441376013257</v>
      </c>
      <c r="S18" s="133">
        <f t="shared" si="3"/>
        <v>34082557.33</v>
      </c>
      <c r="T18" s="134">
        <f t="shared" si="1"/>
        <v>0.9983525586239866</v>
      </c>
      <c r="U18" s="133">
        <f aca="true" t="shared" si="6" ref="U18:U26">+C18-Q18</f>
        <v>34082557.33</v>
      </c>
      <c r="V18" s="134">
        <f t="shared" si="2"/>
        <v>0.9983525586239866</v>
      </c>
      <c r="W18" s="3"/>
      <c r="X18" s="3"/>
      <c r="Y18" s="3"/>
      <c r="Z18" s="3"/>
      <c r="AA18" s="3"/>
      <c r="AB18" s="3"/>
      <c r="AC18" s="2"/>
    </row>
    <row r="19" spans="1:29" ht="15">
      <c r="A19" s="143" t="s">
        <v>83</v>
      </c>
      <c r="B19" s="129" t="s">
        <v>20</v>
      </c>
      <c r="C19" s="40">
        <v>29880000</v>
      </c>
      <c r="D19" s="41"/>
      <c r="E19" s="41">
        <v>2342402</v>
      </c>
      <c r="F19" s="40">
        <v>2533722</v>
      </c>
      <c r="G19" s="40">
        <v>2476550</v>
      </c>
      <c r="H19" s="40">
        <v>2561784</v>
      </c>
      <c r="I19" s="40">
        <v>2684660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133">
        <f t="shared" si="4"/>
        <v>12599118</v>
      </c>
      <c r="R19" s="134">
        <f t="shared" si="5"/>
        <v>0.42165722891566265</v>
      </c>
      <c r="S19" s="133">
        <f t="shared" si="3"/>
        <v>17280882</v>
      </c>
      <c r="T19" s="134">
        <f t="shared" si="1"/>
        <v>0.5783427710843374</v>
      </c>
      <c r="U19" s="133">
        <f t="shared" si="6"/>
        <v>17280882</v>
      </c>
      <c r="V19" s="134">
        <f t="shared" si="2"/>
        <v>0.5783427710843374</v>
      </c>
      <c r="W19" s="3"/>
      <c r="X19" s="3"/>
      <c r="Y19" s="3"/>
      <c r="Z19" s="3"/>
      <c r="AA19" s="3"/>
      <c r="AB19" s="3"/>
      <c r="AC19" s="2"/>
    </row>
    <row r="20" spans="1:29" ht="15">
      <c r="A20" s="143" t="s">
        <v>283</v>
      </c>
      <c r="B20" s="129" t="s">
        <v>284</v>
      </c>
      <c r="C20" s="40">
        <v>3850000</v>
      </c>
      <c r="D20" s="41"/>
      <c r="E20" s="41">
        <v>0</v>
      </c>
      <c r="F20" s="40">
        <v>350000</v>
      </c>
      <c r="G20" s="40">
        <v>350000</v>
      </c>
      <c r="H20" s="40">
        <v>350000</v>
      </c>
      <c r="I20" s="40">
        <v>350000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133">
        <f>SUM(E20:P20)</f>
        <v>1400000</v>
      </c>
      <c r="R20" s="134">
        <f t="shared" si="5"/>
        <v>0.36363636363636365</v>
      </c>
      <c r="S20" s="133">
        <f t="shared" si="3"/>
        <v>2450000</v>
      </c>
      <c r="T20" s="134">
        <f t="shared" si="1"/>
        <v>0.6363636363636364</v>
      </c>
      <c r="U20" s="133">
        <f>+C20-Q20</f>
        <v>2450000</v>
      </c>
      <c r="V20" s="134">
        <f t="shared" si="2"/>
        <v>0.6363636363636364</v>
      </c>
      <c r="W20" s="3"/>
      <c r="X20" s="3"/>
      <c r="Y20" s="3"/>
      <c r="Z20" s="3"/>
      <c r="AA20" s="3"/>
      <c r="AB20" s="3"/>
      <c r="AC20" s="2"/>
    </row>
    <row r="21" spans="1:29" ht="15">
      <c r="A21" s="143" t="s">
        <v>127</v>
      </c>
      <c r="B21" s="129" t="s">
        <v>176</v>
      </c>
      <c r="C21" s="40">
        <f>500000+50000+100000+465500</f>
        <v>1115500</v>
      </c>
      <c r="D21" s="41"/>
      <c r="E21" s="41">
        <v>416500</v>
      </c>
      <c r="F21" s="40">
        <v>66500</v>
      </c>
      <c r="G21" s="40">
        <v>66500</v>
      </c>
      <c r="H21" s="40">
        <v>66500</v>
      </c>
      <c r="I21" s="40">
        <v>66500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133">
        <f t="shared" si="4"/>
        <v>682500</v>
      </c>
      <c r="R21" s="136">
        <f>+Q21/(C21+D21)</f>
        <v>0.6118332586284178</v>
      </c>
      <c r="S21" s="133">
        <f>+C21-Q21</f>
        <v>433000</v>
      </c>
      <c r="T21" s="134">
        <f>+S21/C21</f>
        <v>0.38816674137158225</v>
      </c>
      <c r="U21" s="133">
        <f t="shared" si="6"/>
        <v>433000</v>
      </c>
      <c r="V21" s="134">
        <f t="shared" si="2"/>
        <v>0.38816674137158225</v>
      </c>
      <c r="W21" s="3"/>
      <c r="X21" s="3"/>
      <c r="Y21" s="3"/>
      <c r="Z21" s="3"/>
      <c r="AA21" s="3"/>
      <c r="AB21" s="3"/>
      <c r="AC21" s="2"/>
    </row>
    <row r="22" spans="1:29" ht="30">
      <c r="A22" s="143" t="s">
        <v>177</v>
      </c>
      <c r="B22" s="59" t="s">
        <v>272</v>
      </c>
      <c r="C22" s="40">
        <v>91200000</v>
      </c>
      <c r="D22" s="41"/>
      <c r="E22" s="41">
        <v>7660435</v>
      </c>
      <c r="F22" s="40">
        <v>7659850</v>
      </c>
      <c r="G22" s="40">
        <v>7594505</v>
      </c>
      <c r="H22" s="40">
        <v>7671005</v>
      </c>
      <c r="I22" s="40">
        <v>7725627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133">
        <f t="shared" si="4"/>
        <v>38311422</v>
      </c>
      <c r="R22" s="134">
        <f t="shared" si="5"/>
        <v>0.42008138157894737</v>
      </c>
      <c r="S22" s="133">
        <f>+C22-Q22</f>
        <v>52888578</v>
      </c>
      <c r="T22" s="134">
        <f>+S22/C22</f>
        <v>0.5799186184210526</v>
      </c>
      <c r="U22" s="133">
        <f t="shared" si="6"/>
        <v>52888578</v>
      </c>
      <c r="V22" s="134">
        <f t="shared" si="2"/>
        <v>0.5799186184210526</v>
      </c>
      <c r="W22" s="3"/>
      <c r="X22" s="3"/>
      <c r="Y22" s="3"/>
      <c r="Z22" s="3"/>
      <c r="AA22" s="3"/>
      <c r="AB22" s="3"/>
      <c r="AC22" s="2"/>
    </row>
    <row r="23" spans="1:29" ht="15">
      <c r="A23" s="143" t="s">
        <v>117</v>
      </c>
      <c r="B23" s="60" t="s">
        <v>185</v>
      </c>
      <c r="C23" s="40">
        <f>450000+300000</f>
        <v>750000</v>
      </c>
      <c r="D23" s="41"/>
      <c r="E23" s="41">
        <v>76280.46</v>
      </c>
      <c r="F23" s="40">
        <v>145908.62</v>
      </c>
      <c r="G23" s="40">
        <v>68371.19</v>
      </c>
      <c r="H23" s="40">
        <v>95429.02</v>
      </c>
      <c r="I23" s="40">
        <v>161441.51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133">
        <f t="shared" si="4"/>
        <v>547430.8</v>
      </c>
      <c r="R23" s="134">
        <f t="shared" si="5"/>
        <v>0.7299077333333334</v>
      </c>
      <c r="S23" s="133">
        <f t="shared" si="3"/>
        <v>202569.19999999995</v>
      </c>
      <c r="T23" s="134">
        <f t="shared" si="1"/>
        <v>0.2700922666666666</v>
      </c>
      <c r="U23" s="133">
        <f t="shared" si="6"/>
        <v>202569.19999999995</v>
      </c>
      <c r="V23" s="134">
        <f t="shared" si="2"/>
        <v>0.2700922666666666</v>
      </c>
      <c r="W23" s="3"/>
      <c r="X23" s="3"/>
      <c r="Y23" s="3"/>
      <c r="Z23" s="3"/>
      <c r="AA23" s="3"/>
      <c r="AB23" s="3"/>
      <c r="AC23" s="2"/>
    </row>
    <row r="24" spans="1:29" ht="15">
      <c r="A24" s="143" t="s">
        <v>323</v>
      </c>
      <c r="B24" s="60" t="s">
        <v>324</v>
      </c>
      <c r="C24" s="40"/>
      <c r="D24" s="41"/>
      <c r="E24" s="41">
        <v>0</v>
      </c>
      <c r="F24" s="40">
        <v>0</v>
      </c>
      <c r="G24" s="40">
        <v>0</v>
      </c>
      <c r="H24" s="40">
        <v>13907.29</v>
      </c>
      <c r="I24" s="40">
        <v>0</v>
      </c>
      <c r="J24" s="40"/>
      <c r="K24" s="40"/>
      <c r="L24" s="40"/>
      <c r="M24" s="40"/>
      <c r="N24" s="40"/>
      <c r="O24" s="40"/>
      <c r="P24" s="40"/>
      <c r="Q24" s="133">
        <f>+E24+F24+G24+H24+I24+J24+K24+L24+M24+N24+O24+P24</f>
        <v>13907.29</v>
      </c>
      <c r="R24" s="134"/>
      <c r="S24" s="133"/>
      <c r="T24" s="134"/>
      <c r="U24" s="133"/>
      <c r="V24" s="134"/>
      <c r="W24" s="3"/>
      <c r="X24" s="3"/>
      <c r="Y24" s="3"/>
      <c r="Z24" s="3"/>
      <c r="AA24" s="3"/>
      <c r="AB24" s="3"/>
      <c r="AC24" s="2"/>
    </row>
    <row r="25" spans="1:29" ht="15">
      <c r="A25" s="144" t="s">
        <v>84</v>
      </c>
      <c r="B25" s="22" t="s">
        <v>21</v>
      </c>
      <c r="C25" s="40">
        <v>19323121.8</v>
      </c>
      <c r="D25" s="41"/>
      <c r="E25" s="41">
        <v>1575484.48</v>
      </c>
      <c r="F25" s="40">
        <v>1647160.54</v>
      </c>
      <c r="G25" s="40">
        <v>1638327.29</v>
      </c>
      <c r="H25" s="40">
        <v>1631863.61</v>
      </c>
      <c r="I25" s="40">
        <v>1664423.32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133">
        <f t="shared" si="4"/>
        <v>8157259.240000001</v>
      </c>
      <c r="R25" s="134">
        <f t="shared" si="5"/>
        <v>0.4221501745126919</v>
      </c>
      <c r="S25" s="133">
        <f t="shared" si="3"/>
        <v>11165862.559999999</v>
      </c>
      <c r="T25" s="134">
        <f t="shared" si="1"/>
        <v>0.5778498254873081</v>
      </c>
      <c r="U25" s="133">
        <f t="shared" si="6"/>
        <v>11165862.559999999</v>
      </c>
      <c r="V25" s="134">
        <f t="shared" si="2"/>
        <v>0.5778498254873081</v>
      </c>
      <c r="W25" s="3"/>
      <c r="X25" s="3"/>
      <c r="Y25" s="3"/>
      <c r="Z25" s="3"/>
      <c r="AA25" s="3"/>
      <c r="AB25" s="3"/>
      <c r="AC25" s="2"/>
    </row>
    <row r="26" spans="1:29" ht="15">
      <c r="A26" s="143" t="s">
        <v>155</v>
      </c>
      <c r="B26" s="59" t="s">
        <v>85</v>
      </c>
      <c r="C26" s="40">
        <v>3026424</v>
      </c>
      <c r="D26" s="41"/>
      <c r="E26" s="41">
        <v>244438.1</v>
      </c>
      <c r="F26" s="40">
        <v>255558.58</v>
      </c>
      <c r="G26" s="40">
        <v>254397.57</v>
      </c>
      <c r="H26" s="40">
        <v>253185.27</v>
      </c>
      <c r="I26" s="40">
        <v>258236.96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133">
        <f t="shared" si="4"/>
        <v>1265816.48</v>
      </c>
      <c r="R26" s="134">
        <f t="shared" si="5"/>
        <v>0.418254838053095</v>
      </c>
      <c r="S26" s="133">
        <f t="shared" si="3"/>
        <v>1760607.52</v>
      </c>
      <c r="T26" s="134">
        <f t="shared" si="1"/>
        <v>0.581745161946905</v>
      </c>
      <c r="U26" s="133">
        <f t="shared" si="6"/>
        <v>1760607.52</v>
      </c>
      <c r="V26" s="134">
        <f t="shared" si="2"/>
        <v>0.581745161946905</v>
      </c>
      <c r="W26" s="3"/>
      <c r="X26" s="3"/>
      <c r="Y26" s="3"/>
      <c r="Z26" s="3"/>
      <c r="AA26" s="3"/>
      <c r="AB26" s="3"/>
      <c r="AC26" s="2"/>
    </row>
    <row r="27" spans="1:30" s="7" customFormat="1" ht="15">
      <c r="A27" s="20" t="s">
        <v>22</v>
      </c>
      <c r="B27" s="8" t="s">
        <v>348</v>
      </c>
      <c r="C27" s="70">
        <f>+C29+C30+C31+C32+C33</f>
        <v>43417325</v>
      </c>
      <c r="D27" s="70">
        <f>+D29+D30+D31+D32+D33</f>
        <v>0</v>
      </c>
      <c r="E27" s="70">
        <f>+E29+E30+E31+E32+E33</f>
        <v>4208438.779999999</v>
      </c>
      <c r="F27" s="70">
        <f>+F29+F30+F31+F32+F33</f>
        <v>4081338.62</v>
      </c>
      <c r="G27" s="70">
        <f aca="true" t="shared" si="7" ref="G27:P27">+G29+G30+G31+G32+G33</f>
        <v>4217152.57</v>
      </c>
      <c r="H27" s="70">
        <f t="shared" si="7"/>
        <v>4062339.6100000003</v>
      </c>
      <c r="I27" s="70">
        <f t="shared" si="7"/>
        <v>4639024.23</v>
      </c>
      <c r="J27" s="70">
        <f t="shared" si="7"/>
        <v>0</v>
      </c>
      <c r="K27" s="70">
        <f t="shared" si="7"/>
        <v>0</v>
      </c>
      <c r="L27" s="70">
        <f t="shared" si="7"/>
        <v>0</v>
      </c>
      <c r="M27" s="70">
        <f t="shared" si="7"/>
        <v>0</v>
      </c>
      <c r="N27" s="70">
        <f t="shared" si="7"/>
        <v>0</v>
      </c>
      <c r="O27" s="70">
        <f t="shared" si="7"/>
        <v>0</v>
      </c>
      <c r="P27" s="70">
        <f t="shared" si="7"/>
        <v>0</v>
      </c>
      <c r="Q27" s="74">
        <f>SUM(E27:P28)</f>
        <v>21208293.81</v>
      </c>
      <c r="R27" s="75">
        <f>+Q27/C27</f>
        <v>0.4884753680702346</v>
      </c>
      <c r="S27" s="74">
        <f>SUM(S30:S33)</f>
        <v>13079266.469999999</v>
      </c>
      <c r="T27" s="75">
        <f t="shared" si="1"/>
        <v>0.3012453316734736</v>
      </c>
      <c r="U27" s="74">
        <f>+U29+U30+U31+U32+U33</f>
        <v>22209031.189999998</v>
      </c>
      <c r="V27" s="72">
        <f t="shared" si="2"/>
        <v>0.5115246319297653</v>
      </c>
      <c r="W27" s="3"/>
      <c r="X27" s="3"/>
      <c r="Y27" s="3"/>
      <c r="Z27" s="3"/>
      <c r="AA27" s="3"/>
      <c r="AB27" s="3"/>
      <c r="AC27" s="2"/>
      <c r="AD27" s="2"/>
    </row>
    <row r="28" spans="1:30" s="7" customFormat="1" ht="17.25" customHeight="1" hidden="1">
      <c r="A28" s="45" t="s">
        <v>23</v>
      </c>
      <c r="B28" s="6" t="s">
        <v>24</v>
      </c>
      <c r="C28" s="5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52"/>
      <c r="R28" s="52"/>
      <c r="S28" s="53"/>
      <c r="T28" s="53"/>
      <c r="U28" s="52"/>
      <c r="V28" s="52"/>
      <c r="W28" s="3"/>
      <c r="X28" s="3"/>
      <c r="Y28" s="3"/>
      <c r="Z28" s="3"/>
      <c r="AA28" s="3"/>
      <c r="AB28" s="3"/>
      <c r="AC28" s="2"/>
      <c r="AD28" s="2"/>
    </row>
    <row r="29" spans="1:30" s="7" customFormat="1" ht="15">
      <c r="A29" s="144" t="s">
        <v>86</v>
      </c>
      <c r="B29" s="22" t="s">
        <v>25</v>
      </c>
      <c r="C29" s="40">
        <v>17040000</v>
      </c>
      <c r="D29" s="41"/>
      <c r="E29" s="41">
        <v>1512848.13</v>
      </c>
      <c r="F29" s="40">
        <v>1546454.31</v>
      </c>
      <c r="G29" s="40">
        <v>1630079.87</v>
      </c>
      <c r="H29" s="40">
        <v>1560495.57</v>
      </c>
      <c r="I29" s="40">
        <v>1660357.4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133">
        <f aca="true" t="shared" si="8" ref="Q29:Q52">SUM(E29:P29)</f>
        <v>7910235.280000001</v>
      </c>
      <c r="R29" s="134">
        <f aca="true" t="shared" si="9" ref="R29:R34">+Q29/C29</f>
        <v>0.46421568544600944</v>
      </c>
      <c r="S29" s="133">
        <f aca="true" t="shared" si="10" ref="S29:S61">+C29-Q29</f>
        <v>9129764.719999999</v>
      </c>
      <c r="T29" s="134">
        <f aca="true" t="shared" si="11" ref="T29:T61">+S29/C29</f>
        <v>0.5357843145539906</v>
      </c>
      <c r="U29" s="133">
        <f>+C29-Q29</f>
        <v>9129764.719999999</v>
      </c>
      <c r="V29" s="134">
        <f>+U29/C29</f>
        <v>0.5357843145539906</v>
      </c>
      <c r="W29" s="3"/>
      <c r="X29" s="3"/>
      <c r="Y29" s="3"/>
      <c r="Z29" s="3"/>
      <c r="AA29" s="3"/>
      <c r="AB29" s="3"/>
      <c r="AC29" s="2"/>
      <c r="AD29" s="2"/>
    </row>
    <row r="30" spans="1:30" s="7" customFormat="1" ht="15">
      <c r="A30" s="144" t="s">
        <v>87</v>
      </c>
      <c r="B30" s="22" t="s">
        <v>26</v>
      </c>
      <c r="C30" s="40">
        <v>7050000</v>
      </c>
      <c r="D30" s="41"/>
      <c r="E30" s="41">
        <v>606599.71</v>
      </c>
      <c r="F30" s="40">
        <v>593759.17</v>
      </c>
      <c r="G30" s="40">
        <v>634482.83</v>
      </c>
      <c r="H30" s="40">
        <v>596865.57</v>
      </c>
      <c r="I30" s="40">
        <v>672105.01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133">
        <f t="shared" si="8"/>
        <v>3103812.29</v>
      </c>
      <c r="R30" s="134">
        <f t="shared" si="9"/>
        <v>0.44025706241134754</v>
      </c>
      <c r="S30" s="133">
        <f t="shared" si="10"/>
        <v>3946187.71</v>
      </c>
      <c r="T30" s="134">
        <f t="shared" si="11"/>
        <v>0.5597429375886525</v>
      </c>
      <c r="U30" s="133">
        <f>+C30-Q30</f>
        <v>3946187.71</v>
      </c>
      <c r="V30" s="134">
        <f>+U30/C30</f>
        <v>0.5597429375886525</v>
      </c>
      <c r="W30" s="3"/>
      <c r="X30" s="3"/>
      <c r="Y30" s="3"/>
      <c r="Z30" s="3"/>
      <c r="AA30" s="3"/>
      <c r="AB30" s="3"/>
      <c r="AC30" s="2"/>
      <c r="AD30" s="2"/>
    </row>
    <row r="31" spans="1:30" s="7" customFormat="1" ht="15">
      <c r="A31" s="144" t="s">
        <v>259</v>
      </c>
      <c r="B31" s="22" t="s">
        <v>257</v>
      </c>
      <c r="C31" s="40">
        <v>18950125</v>
      </c>
      <c r="D31" s="41"/>
      <c r="E31" s="41">
        <v>2075866.94</v>
      </c>
      <c r="F31" s="40">
        <v>1914413.14</v>
      </c>
      <c r="G31" s="40">
        <v>1896358.87</v>
      </c>
      <c r="H31" s="40">
        <v>1896902.47</v>
      </c>
      <c r="I31" s="40">
        <v>2301060.82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133">
        <f t="shared" si="8"/>
        <v>10084602.24</v>
      </c>
      <c r="R31" s="134">
        <f t="shared" si="9"/>
        <v>0.5321654733148198</v>
      </c>
      <c r="S31" s="133">
        <f t="shared" si="10"/>
        <v>8865522.76</v>
      </c>
      <c r="T31" s="134">
        <f t="shared" si="11"/>
        <v>0.46783452668518016</v>
      </c>
      <c r="U31" s="133">
        <f>+C31-Q31</f>
        <v>8865522.76</v>
      </c>
      <c r="V31" s="134">
        <f>+U31/C31</f>
        <v>0.46783452668518016</v>
      </c>
      <c r="W31" s="3"/>
      <c r="X31" s="3"/>
      <c r="Y31" s="3"/>
      <c r="Z31" s="3"/>
      <c r="AA31" s="3"/>
      <c r="AB31" s="3"/>
      <c r="AC31" s="2"/>
      <c r="AD31" s="2"/>
    </row>
    <row r="32" spans="1:30" s="7" customFormat="1" ht="15">
      <c r="A32" s="144" t="s">
        <v>88</v>
      </c>
      <c r="B32" s="22" t="s">
        <v>27</v>
      </c>
      <c r="C32" s="40">
        <v>258000</v>
      </c>
      <c r="D32" s="41"/>
      <c r="E32" s="41">
        <v>11624</v>
      </c>
      <c r="F32" s="40">
        <v>25036</v>
      </c>
      <c r="G32" s="40">
        <v>3045</v>
      </c>
      <c r="H32" s="40">
        <v>6404</v>
      </c>
      <c r="I32" s="40">
        <v>3829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133">
        <f t="shared" si="8"/>
        <v>49938</v>
      </c>
      <c r="R32" s="134">
        <f t="shared" si="9"/>
        <v>0.1935581395348837</v>
      </c>
      <c r="S32" s="133">
        <f t="shared" si="10"/>
        <v>208062</v>
      </c>
      <c r="T32" s="134">
        <f t="shared" si="11"/>
        <v>0.8064418604651162</v>
      </c>
      <c r="U32" s="133">
        <f>+C32-Q32</f>
        <v>208062</v>
      </c>
      <c r="V32" s="134">
        <f aca="true" t="shared" si="12" ref="V32:V42">+U32/C32</f>
        <v>0.8064418604651162</v>
      </c>
      <c r="W32" s="3"/>
      <c r="X32" s="3"/>
      <c r="Y32" s="3"/>
      <c r="Z32" s="3"/>
      <c r="AA32" s="3"/>
      <c r="AB32" s="3"/>
      <c r="AC32" s="2"/>
      <c r="AD32" s="2"/>
    </row>
    <row r="33" spans="1:30" s="7" customFormat="1" ht="15">
      <c r="A33" s="144" t="s">
        <v>89</v>
      </c>
      <c r="B33" s="22" t="s">
        <v>28</v>
      </c>
      <c r="C33" s="40">
        <f>19200+100000</f>
        <v>119200</v>
      </c>
      <c r="D33" s="41"/>
      <c r="E33" s="41">
        <v>1500</v>
      </c>
      <c r="F33" s="40">
        <v>1676</v>
      </c>
      <c r="G33" s="40">
        <v>53186</v>
      </c>
      <c r="H33" s="40">
        <v>1672</v>
      </c>
      <c r="I33" s="40">
        <v>1672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133">
        <f t="shared" si="8"/>
        <v>59706</v>
      </c>
      <c r="R33" s="134">
        <f t="shared" si="9"/>
        <v>0.5008892617449664</v>
      </c>
      <c r="S33" s="133">
        <f t="shared" si="10"/>
        <v>59494</v>
      </c>
      <c r="T33" s="134">
        <f t="shared" si="11"/>
        <v>0.49911073825503355</v>
      </c>
      <c r="U33" s="133">
        <f>+C33-Q33</f>
        <v>59494</v>
      </c>
      <c r="V33" s="134">
        <f t="shared" si="12"/>
        <v>0.49911073825503355</v>
      </c>
      <c r="W33" s="3"/>
      <c r="X33" s="3"/>
      <c r="Y33" s="3"/>
      <c r="Z33" s="3"/>
      <c r="AA33" s="3"/>
      <c r="AB33" s="3"/>
      <c r="AC33" s="2"/>
      <c r="AD33" s="2"/>
    </row>
    <row r="34" spans="1:30" s="7" customFormat="1" ht="15">
      <c r="A34" s="20" t="s">
        <v>29</v>
      </c>
      <c r="B34" s="8" t="s">
        <v>349</v>
      </c>
      <c r="C34" s="70">
        <f>+C35+C36</f>
        <v>558000</v>
      </c>
      <c r="D34" s="70">
        <f>+D35+D36</f>
        <v>0</v>
      </c>
      <c r="E34" s="70">
        <f aca="true" t="shared" si="13" ref="E34:P34">SUM(E36:E36)</f>
        <v>0</v>
      </c>
      <c r="F34" s="70">
        <f t="shared" si="13"/>
        <v>0</v>
      </c>
      <c r="G34" s="70">
        <f t="shared" si="13"/>
        <v>126285.9</v>
      </c>
      <c r="H34" s="70">
        <f t="shared" si="13"/>
        <v>0</v>
      </c>
      <c r="I34" s="70">
        <f t="shared" si="13"/>
        <v>0</v>
      </c>
      <c r="J34" s="70">
        <f t="shared" si="13"/>
        <v>0</v>
      </c>
      <c r="K34" s="70">
        <f t="shared" si="13"/>
        <v>0</v>
      </c>
      <c r="L34" s="70">
        <f t="shared" si="13"/>
        <v>0</v>
      </c>
      <c r="M34" s="70">
        <f t="shared" si="13"/>
        <v>0</v>
      </c>
      <c r="N34" s="70">
        <f t="shared" si="13"/>
        <v>0</v>
      </c>
      <c r="O34" s="70">
        <f t="shared" si="13"/>
        <v>0</v>
      </c>
      <c r="P34" s="70">
        <f t="shared" si="13"/>
        <v>0</v>
      </c>
      <c r="Q34" s="74">
        <f>SUM(E34:P34)</f>
        <v>126285.9</v>
      </c>
      <c r="R34" s="75">
        <f t="shared" si="9"/>
        <v>0.22631881720430105</v>
      </c>
      <c r="S34" s="74">
        <f t="shared" si="10"/>
        <v>431714.1</v>
      </c>
      <c r="T34" s="75">
        <f t="shared" si="11"/>
        <v>0.7736811827956989</v>
      </c>
      <c r="U34" s="74">
        <f>+C34+D34-Q34</f>
        <v>431714.1</v>
      </c>
      <c r="V34" s="72">
        <f>+U34/C34</f>
        <v>0.7736811827956989</v>
      </c>
      <c r="W34" s="3"/>
      <c r="X34" s="3"/>
      <c r="Y34" s="3"/>
      <c r="Z34" s="3"/>
      <c r="AA34" s="3"/>
      <c r="AB34" s="3"/>
      <c r="AC34" s="2"/>
      <c r="AD34" s="2"/>
    </row>
    <row r="35" spans="1:30" s="7" customFormat="1" ht="15">
      <c r="A35" s="144" t="s">
        <v>90</v>
      </c>
      <c r="B35" s="22" t="s">
        <v>30</v>
      </c>
      <c r="C35" s="40">
        <f>558000-190000</f>
        <v>368000</v>
      </c>
      <c r="D35" s="41"/>
      <c r="E35" s="41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133">
        <f>SUM(E35:P35)</f>
        <v>0</v>
      </c>
      <c r="R35" s="134">
        <f>+Q35/(D35+C35)</f>
        <v>0</v>
      </c>
      <c r="S35" s="133">
        <f>+C35-Q35</f>
        <v>368000</v>
      </c>
      <c r="T35" s="134">
        <f>+S35/C35</f>
        <v>1</v>
      </c>
      <c r="U35" s="133">
        <f>+C35+D35-Q35</f>
        <v>368000</v>
      </c>
      <c r="V35" s="134">
        <f>+U35/C35</f>
        <v>1</v>
      </c>
      <c r="W35" s="3"/>
      <c r="X35" s="3"/>
      <c r="Y35" s="3"/>
      <c r="Z35" s="3"/>
      <c r="AA35" s="3"/>
      <c r="AB35" s="3"/>
      <c r="AC35" s="2"/>
      <c r="AD35" s="2"/>
    </row>
    <row r="36" spans="1:30" s="7" customFormat="1" ht="15">
      <c r="A36" s="144" t="s">
        <v>308</v>
      </c>
      <c r="B36" s="22" t="s">
        <v>307</v>
      </c>
      <c r="C36" s="40">
        <v>190000</v>
      </c>
      <c r="D36" s="41"/>
      <c r="E36" s="41">
        <v>0</v>
      </c>
      <c r="F36" s="40">
        <v>0</v>
      </c>
      <c r="G36" s="40">
        <v>126285.9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133">
        <f t="shared" si="8"/>
        <v>126285.9</v>
      </c>
      <c r="R36" s="134">
        <f>+Q36/(D36+C36)</f>
        <v>0.6646626315789473</v>
      </c>
      <c r="S36" s="133">
        <f t="shared" si="10"/>
        <v>63714.100000000006</v>
      </c>
      <c r="T36" s="134">
        <f t="shared" si="11"/>
        <v>0.33533736842105266</v>
      </c>
      <c r="U36" s="133">
        <f>+C36+D36-Q36</f>
        <v>63714.100000000006</v>
      </c>
      <c r="V36" s="134">
        <f t="shared" si="12"/>
        <v>0.33533736842105266</v>
      </c>
      <c r="W36" s="3"/>
      <c r="X36" s="3"/>
      <c r="Y36" s="3"/>
      <c r="Z36" s="3"/>
      <c r="AA36" s="3"/>
      <c r="AB36" s="3"/>
      <c r="AC36" s="2"/>
      <c r="AD36" s="2"/>
    </row>
    <row r="37" spans="1:30" s="7" customFormat="1" ht="15">
      <c r="A37" s="20" t="s">
        <v>31</v>
      </c>
      <c r="B37" s="8" t="s">
        <v>350</v>
      </c>
      <c r="C37" s="70">
        <f>SUM(C38:C39)</f>
        <v>5165200</v>
      </c>
      <c r="D37" s="70">
        <f>+D38+D39</f>
        <v>0</v>
      </c>
      <c r="E37" s="70">
        <f aca="true" t="shared" si="14" ref="E37:P37">SUM(E38:E39)</f>
        <v>669020</v>
      </c>
      <c r="F37" s="70">
        <f t="shared" si="14"/>
        <v>535700</v>
      </c>
      <c r="G37" s="70">
        <f t="shared" si="14"/>
        <v>594200</v>
      </c>
      <c r="H37" s="70">
        <f t="shared" si="14"/>
        <v>475860</v>
      </c>
      <c r="I37" s="70">
        <f t="shared" si="14"/>
        <v>511300</v>
      </c>
      <c r="J37" s="70">
        <f t="shared" si="14"/>
        <v>0</v>
      </c>
      <c r="K37" s="70">
        <f t="shared" si="14"/>
        <v>0</v>
      </c>
      <c r="L37" s="70">
        <f t="shared" si="14"/>
        <v>0</v>
      </c>
      <c r="M37" s="70">
        <f t="shared" si="14"/>
        <v>0</v>
      </c>
      <c r="N37" s="70">
        <f t="shared" si="14"/>
        <v>0</v>
      </c>
      <c r="O37" s="70">
        <f t="shared" si="14"/>
        <v>0</v>
      </c>
      <c r="P37" s="70">
        <f t="shared" si="14"/>
        <v>0</v>
      </c>
      <c r="Q37" s="74">
        <f>SUM(E37:P37)</f>
        <v>2786080</v>
      </c>
      <c r="R37" s="75">
        <f aca="true" t="shared" si="15" ref="R37:R44">+Q37/C37</f>
        <v>0.5393944087353829</v>
      </c>
      <c r="S37" s="74">
        <f t="shared" si="10"/>
        <v>2379120</v>
      </c>
      <c r="T37" s="75">
        <f t="shared" si="11"/>
        <v>0.46060559126461703</v>
      </c>
      <c r="U37" s="74">
        <f>+C37+D37-Q37</f>
        <v>2379120</v>
      </c>
      <c r="V37" s="75">
        <f t="shared" si="12"/>
        <v>0.46060559126461703</v>
      </c>
      <c r="W37" s="3"/>
      <c r="X37" s="3"/>
      <c r="Y37" s="3"/>
      <c r="Z37" s="3"/>
      <c r="AA37" s="3"/>
      <c r="AB37" s="3"/>
      <c r="AC37" s="2"/>
      <c r="AD37" s="2"/>
    </row>
    <row r="38" spans="1:30" s="7" customFormat="1" ht="15">
      <c r="A38" s="144" t="s">
        <v>91</v>
      </c>
      <c r="B38" s="22" t="s">
        <v>32</v>
      </c>
      <c r="C38" s="40">
        <v>4866000</v>
      </c>
      <c r="D38" s="41"/>
      <c r="E38" s="41">
        <v>669020</v>
      </c>
      <c r="F38" s="40">
        <v>535700</v>
      </c>
      <c r="G38" s="40">
        <v>594200</v>
      </c>
      <c r="H38" s="40">
        <v>475860</v>
      </c>
      <c r="I38" s="40">
        <v>511300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133">
        <f t="shared" si="8"/>
        <v>2786080</v>
      </c>
      <c r="R38" s="134">
        <f t="shared" si="15"/>
        <v>0.5725606247431155</v>
      </c>
      <c r="S38" s="133">
        <f t="shared" si="10"/>
        <v>2079920</v>
      </c>
      <c r="T38" s="134">
        <f t="shared" si="11"/>
        <v>0.4274393752568845</v>
      </c>
      <c r="U38" s="133">
        <f>+C38-Q38</f>
        <v>2079920</v>
      </c>
      <c r="V38" s="134">
        <f t="shared" si="12"/>
        <v>0.4274393752568845</v>
      </c>
      <c r="W38" s="3"/>
      <c r="X38" s="3"/>
      <c r="Y38" s="3"/>
      <c r="Z38" s="3"/>
      <c r="AA38" s="3"/>
      <c r="AB38" s="3"/>
      <c r="AC38" s="2"/>
      <c r="AD38" s="2"/>
    </row>
    <row r="39" spans="1:30" s="7" customFormat="1" ht="15">
      <c r="A39" s="144" t="s">
        <v>92</v>
      </c>
      <c r="B39" s="22" t="s">
        <v>33</v>
      </c>
      <c r="C39" s="40">
        <f>649200-50000-300000</f>
        <v>299200</v>
      </c>
      <c r="D39" s="41"/>
      <c r="E39" s="41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133">
        <f t="shared" si="8"/>
        <v>0</v>
      </c>
      <c r="R39" s="134">
        <f t="shared" si="15"/>
        <v>0</v>
      </c>
      <c r="S39" s="133">
        <f t="shared" si="10"/>
        <v>299200</v>
      </c>
      <c r="T39" s="134">
        <f t="shared" si="11"/>
        <v>1</v>
      </c>
      <c r="U39" s="133">
        <f>+C39-Q39</f>
        <v>299200</v>
      </c>
      <c r="V39" s="134">
        <f t="shared" si="12"/>
        <v>1</v>
      </c>
      <c r="W39" s="3"/>
      <c r="X39" s="3"/>
      <c r="Y39" s="3"/>
      <c r="Z39" s="3"/>
      <c r="AA39" s="3"/>
      <c r="AB39" s="3"/>
      <c r="AC39" s="2"/>
      <c r="AD39" s="2"/>
    </row>
    <row r="40" spans="1:30" s="7" customFormat="1" ht="15">
      <c r="A40" s="20" t="s">
        <v>34</v>
      </c>
      <c r="B40" s="8" t="s">
        <v>351</v>
      </c>
      <c r="C40" s="70">
        <f aca="true" t="shared" si="16" ref="C40:I40">+C41+C42</f>
        <v>456000</v>
      </c>
      <c r="D40" s="70">
        <f t="shared" si="16"/>
        <v>0</v>
      </c>
      <c r="E40" s="70">
        <f t="shared" si="16"/>
        <v>50000</v>
      </c>
      <c r="F40" s="70">
        <f t="shared" si="16"/>
        <v>50000</v>
      </c>
      <c r="G40" s="70">
        <f t="shared" si="16"/>
        <v>50460</v>
      </c>
      <c r="H40" s="70">
        <f t="shared" si="16"/>
        <v>50000</v>
      </c>
      <c r="I40" s="70">
        <f t="shared" si="16"/>
        <v>52000</v>
      </c>
      <c r="J40" s="70">
        <f aca="true" t="shared" si="17" ref="J40:P40">+J42</f>
        <v>0</v>
      </c>
      <c r="K40" s="70">
        <f t="shared" si="17"/>
        <v>0</v>
      </c>
      <c r="L40" s="70">
        <f t="shared" si="17"/>
        <v>0</v>
      </c>
      <c r="M40" s="70">
        <f t="shared" si="17"/>
        <v>0</v>
      </c>
      <c r="N40" s="70">
        <f t="shared" si="17"/>
        <v>0</v>
      </c>
      <c r="O40" s="70">
        <f t="shared" si="17"/>
        <v>0</v>
      </c>
      <c r="P40" s="70">
        <f t="shared" si="17"/>
        <v>0</v>
      </c>
      <c r="Q40" s="74">
        <f>SUM(E40:P40)</f>
        <v>252460</v>
      </c>
      <c r="R40" s="75">
        <f>+Q40/C40</f>
        <v>0.553640350877193</v>
      </c>
      <c r="S40" s="74">
        <f>+C40-Q40</f>
        <v>203540</v>
      </c>
      <c r="T40" s="75">
        <f>+S40/C40</f>
        <v>0.446359649122807</v>
      </c>
      <c r="U40" s="74">
        <f>+C40+D40-Q40</f>
        <v>203540</v>
      </c>
      <c r="V40" s="72">
        <f>+U40/C40</f>
        <v>0.446359649122807</v>
      </c>
      <c r="W40" s="3"/>
      <c r="X40" s="3"/>
      <c r="Y40" s="3"/>
      <c r="Z40" s="3"/>
      <c r="AA40" s="3"/>
      <c r="AB40" s="3"/>
      <c r="AC40" s="2"/>
      <c r="AD40" s="2"/>
    </row>
    <row r="41" spans="1:30" s="7" customFormat="1" ht="15">
      <c r="A41" s="144" t="s">
        <v>93</v>
      </c>
      <c r="B41" s="22" t="s">
        <v>158</v>
      </c>
      <c r="C41" s="40">
        <f>576000-20000-10000-100000</f>
        <v>446000</v>
      </c>
      <c r="D41" s="41"/>
      <c r="E41" s="41">
        <v>50000</v>
      </c>
      <c r="F41" s="40">
        <v>50000</v>
      </c>
      <c r="G41" s="40">
        <v>50000</v>
      </c>
      <c r="H41" s="40">
        <v>50000</v>
      </c>
      <c r="I41" s="40">
        <v>52000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133">
        <f>SUM(E41:P41)</f>
        <v>252000</v>
      </c>
      <c r="R41" s="134">
        <f>+Q41/C41</f>
        <v>0.5650224215246636</v>
      </c>
      <c r="S41" s="133">
        <f>+C41-Q41</f>
        <v>194000</v>
      </c>
      <c r="T41" s="134">
        <f>+S41/C41</f>
        <v>0.4349775784753363</v>
      </c>
      <c r="U41" s="133">
        <f>+C41-Q41</f>
        <v>194000</v>
      </c>
      <c r="V41" s="134">
        <f>+U41/C41</f>
        <v>0.4349775784753363</v>
      </c>
      <c r="W41" s="3"/>
      <c r="X41" s="3"/>
      <c r="Y41" s="3"/>
      <c r="Z41" s="3"/>
      <c r="AA41" s="3"/>
      <c r="AB41" s="3"/>
      <c r="AC41" s="2"/>
      <c r="AD41" s="2"/>
    </row>
    <row r="42" spans="1:30" s="7" customFormat="1" ht="15">
      <c r="A42" s="144" t="s">
        <v>309</v>
      </c>
      <c r="B42" s="22" t="s">
        <v>310</v>
      </c>
      <c r="C42" s="40">
        <v>10000</v>
      </c>
      <c r="D42" s="41"/>
      <c r="E42" s="41">
        <v>0</v>
      </c>
      <c r="F42" s="40">
        <v>0</v>
      </c>
      <c r="G42" s="40">
        <v>460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133">
        <f t="shared" si="8"/>
        <v>460</v>
      </c>
      <c r="R42" s="134">
        <f t="shared" si="15"/>
        <v>0.046</v>
      </c>
      <c r="S42" s="133">
        <f t="shared" si="10"/>
        <v>9540</v>
      </c>
      <c r="T42" s="134">
        <f t="shared" si="11"/>
        <v>0.954</v>
      </c>
      <c r="U42" s="133">
        <f>+C42-Q42</f>
        <v>9540</v>
      </c>
      <c r="V42" s="134">
        <f t="shared" si="12"/>
        <v>0.954</v>
      </c>
      <c r="W42" s="3"/>
      <c r="X42" s="3"/>
      <c r="Y42" s="3"/>
      <c r="Z42" s="3"/>
      <c r="AA42" s="3"/>
      <c r="AB42" s="3"/>
      <c r="AC42" s="2"/>
      <c r="AD42" s="2"/>
    </row>
    <row r="43" spans="1:30" s="7" customFormat="1" ht="15">
      <c r="A43" s="20" t="s">
        <v>35</v>
      </c>
      <c r="B43" s="8" t="s">
        <v>352</v>
      </c>
      <c r="C43" s="70">
        <f>+C44+C45+C46</f>
        <v>11680000</v>
      </c>
      <c r="D43" s="70">
        <f>+D44+D45+D46</f>
        <v>0</v>
      </c>
      <c r="E43" s="70">
        <f aca="true" t="shared" si="18" ref="E43:P43">+E44+E45</f>
        <v>765777.17</v>
      </c>
      <c r="F43" s="70">
        <f t="shared" si="18"/>
        <v>981797.16</v>
      </c>
      <c r="G43" s="70">
        <f t="shared" si="18"/>
        <v>1578456.08</v>
      </c>
      <c r="H43" s="70">
        <f>+H44+H45+H46</f>
        <v>996874.52</v>
      </c>
      <c r="I43" s="70">
        <f>+I44+I45+I46</f>
        <v>1193996.26</v>
      </c>
      <c r="J43" s="70">
        <f t="shared" si="18"/>
        <v>0</v>
      </c>
      <c r="K43" s="70">
        <f t="shared" si="18"/>
        <v>0</v>
      </c>
      <c r="L43" s="70">
        <f t="shared" si="18"/>
        <v>0</v>
      </c>
      <c r="M43" s="70">
        <f t="shared" si="18"/>
        <v>0</v>
      </c>
      <c r="N43" s="70">
        <f t="shared" si="18"/>
        <v>0</v>
      </c>
      <c r="O43" s="70">
        <f t="shared" si="18"/>
        <v>0</v>
      </c>
      <c r="P43" s="70">
        <f t="shared" si="18"/>
        <v>0</v>
      </c>
      <c r="Q43" s="74">
        <f>SUM(E43:P43)</f>
        <v>5516901.1899999995</v>
      </c>
      <c r="R43" s="75">
        <f t="shared" si="15"/>
        <v>0.4723374306506849</v>
      </c>
      <c r="S43" s="74">
        <f t="shared" si="10"/>
        <v>6163098.8100000005</v>
      </c>
      <c r="T43" s="75">
        <f t="shared" si="11"/>
        <v>0.5276625693493151</v>
      </c>
      <c r="U43" s="74">
        <f>+C43+D43-Q43</f>
        <v>6163098.8100000005</v>
      </c>
      <c r="V43" s="72">
        <f>+U43/C43</f>
        <v>0.5276625693493151</v>
      </c>
      <c r="W43" s="3"/>
      <c r="X43" s="3"/>
      <c r="Y43" s="3"/>
      <c r="Z43" s="3"/>
      <c r="AA43" s="3"/>
      <c r="AB43" s="3"/>
      <c r="AC43" s="2"/>
      <c r="AD43" s="2"/>
    </row>
    <row r="44" spans="1:30" s="7" customFormat="1" ht="15">
      <c r="A44" s="144" t="s">
        <v>94</v>
      </c>
      <c r="B44" s="22" t="s">
        <v>36</v>
      </c>
      <c r="C44" s="40">
        <f>10440000-100000</f>
        <v>10340000</v>
      </c>
      <c r="D44" s="41"/>
      <c r="E44" s="41">
        <v>765777.17</v>
      </c>
      <c r="F44" s="40">
        <v>981797.16</v>
      </c>
      <c r="G44" s="40">
        <v>975148.92</v>
      </c>
      <c r="H44" s="40">
        <v>722983.26</v>
      </c>
      <c r="I44" s="40">
        <v>847070.26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133">
        <f t="shared" si="8"/>
        <v>4292776.77</v>
      </c>
      <c r="R44" s="134">
        <f t="shared" si="15"/>
        <v>0.41516216344294</v>
      </c>
      <c r="S44" s="133">
        <f t="shared" si="10"/>
        <v>6047223.23</v>
      </c>
      <c r="T44" s="134">
        <f t="shared" si="11"/>
        <v>0.58483783655706</v>
      </c>
      <c r="U44" s="133">
        <f>+C44-Q44</f>
        <v>6047223.23</v>
      </c>
      <c r="V44" s="134">
        <f>+U44/C44</f>
        <v>0.58483783655706</v>
      </c>
      <c r="W44" s="3"/>
      <c r="X44" s="3"/>
      <c r="Y44" s="3"/>
      <c r="Z44" s="3"/>
      <c r="AA44" s="3"/>
      <c r="AB44" s="3"/>
      <c r="AC44" s="2"/>
      <c r="AD44" s="2"/>
    </row>
    <row r="45" spans="1:30" s="7" customFormat="1" ht="15">
      <c r="A45" s="144" t="s">
        <v>95</v>
      </c>
      <c r="B45" s="22" t="s">
        <v>260</v>
      </c>
      <c r="C45" s="40">
        <v>700000</v>
      </c>
      <c r="D45" s="41"/>
      <c r="E45" s="41">
        <v>0</v>
      </c>
      <c r="F45" s="40">
        <v>0</v>
      </c>
      <c r="G45" s="40">
        <v>603307.16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133">
        <f t="shared" si="8"/>
        <v>603307.16</v>
      </c>
      <c r="R45" s="134">
        <v>0</v>
      </c>
      <c r="S45" s="133">
        <f t="shared" si="10"/>
        <v>96692.83999999997</v>
      </c>
      <c r="T45" s="134">
        <f t="shared" si="11"/>
        <v>0.13813262857142852</v>
      </c>
      <c r="U45" s="133">
        <f>+C45-Q45</f>
        <v>96692.83999999997</v>
      </c>
      <c r="V45" s="134">
        <f>+U45/C45</f>
        <v>0.13813262857142852</v>
      </c>
      <c r="W45" s="3"/>
      <c r="X45" s="3"/>
      <c r="Y45" s="3"/>
      <c r="Z45" s="3"/>
      <c r="AA45" s="3"/>
      <c r="AB45" s="3"/>
      <c r="AC45" s="2"/>
      <c r="AD45" s="2"/>
    </row>
    <row r="46" spans="1:30" s="7" customFormat="1" ht="15">
      <c r="A46" s="144" t="s">
        <v>194</v>
      </c>
      <c r="B46" s="22" t="s">
        <v>325</v>
      </c>
      <c r="C46" s="40">
        <f>300000+340000</f>
        <v>640000</v>
      </c>
      <c r="D46" s="41"/>
      <c r="E46" s="41">
        <v>0</v>
      </c>
      <c r="F46" s="40">
        <v>0</v>
      </c>
      <c r="G46" s="40">
        <v>0</v>
      </c>
      <c r="H46" s="40">
        <v>273891.26</v>
      </c>
      <c r="I46" s="40">
        <v>346926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133">
        <f>SUM(E46:P46)</f>
        <v>620817.26</v>
      </c>
      <c r="R46" s="134">
        <v>0</v>
      </c>
      <c r="S46" s="133">
        <f>+C46-Q46</f>
        <v>19182.73999999999</v>
      </c>
      <c r="T46" s="134">
        <f>+S46/C46</f>
        <v>0.029973031249999987</v>
      </c>
      <c r="U46" s="133">
        <f>+C46-Q46</f>
        <v>19182.73999999999</v>
      </c>
      <c r="V46" s="134">
        <f>+U46/C46</f>
        <v>0.029973031249999987</v>
      </c>
      <c r="W46" s="3"/>
      <c r="X46" s="3"/>
      <c r="Y46" s="3"/>
      <c r="Z46" s="3"/>
      <c r="AA46" s="3"/>
      <c r="AB46" s="3"/>
      <c r="AC46" s="2"/>
      <c r="AD46" s="2"/>
    </row>
    <row r="47" spans="1:30" s="7" customFormat="1" ht="15">
      <c r="A47" s="20" t="s">
        <v>37</v>
      </c>
      <c r="B47" s="8" t="s">
        <v>353</v>
      </c>
      <c r="C47" s="70">
        <f>+C48</f>
        <v>5520000</v>
      </c>
      <c r="D47" s="70">
        <f>+D48</f>
        <v>0</v>
      </c>
      <c r="E47" s="70">
        <f aca="true" t="shared" si="19" ref="E47:P47">+E48</f>
        <v>1049479.49</v>
      </c>
      <c r="F47" s="70">
        <f t="shared" si="19"/>
        <v>63938.66</v>
      </c>
      <c r="G47" s="70">
        <f t="shared" si="19"/>
        <v>122214.24</v>
      </c>
      <c r="H47" s="70">
        <f t="shared" si="19"/>
        <v>12813.13</v>
      </c>
      <c r="I47" s="70">
        <f t="shared" si="19"/>
        <v>346223.54</v>
      </c>
      <c r="J47" s="70">
        <f t="shared" si="19"/>
        <v>0</v>
      </c>
      <c r="K47" s="70">
        <f t="shared" si="19"/>
        <v>0</v>
      </c>
      <c r="L47" s="70">
        <f t="shared" si="19"/>
        <v>0</v>
      </c>
      <c r="M47" s="70">
        <f t="shared" si="19"/>
        <v>0</v>
      </c>
      <c r="N47" s="70">
        <f t="shared" si="19"/>
        <v>0</v>
      </c>
      <c r="O47" s="70">
        <f t="shared" si="19"/>
        <v>0</v>
      </c>
      <c r="P47" s="70">
        <f t="shared" si="19"/>
        <v>0</v>
      </c>
      <c r="Q47" s="74">
        <f>SUM(E47:P47)</f>
        <v>1594669.0599999998</v>
      </c>
      <c r="R47" s="75">
        <f aca="true" t="shared" si="20" ref="R47:R61">+Q47/C47</f>
        <v>0.2888893224637681</v>
      </c>
      <c r="S47" s="74">
        <f t="shared" si="10"/>
        <v>3925330.9400000004</v>
      </c>
      <c r="T47" s="75">
        <f t="shared" si="11"/>
        <v>0.7111106775362319</v>
      </c>
      <c r="U47" s="74">
        <f>+C47+D47-Q47</f>
        <v>3925330.9400000004</v>
      </c>
      <c r="V47" s="72">
        <f aca="true" t="shared" si="21" ref="V47:V61">+U47/C47</f>
        <v>0.7111106775362319</v>
      </c>
      <c r="W47" s="124"/>
      <c r="X47" s="3"/>
      <c r="Y47" s="3"/>
      <c r="Z47" s="3"/>
      <c r="AA47" s="3"/>
      <c r="AB47" s="3"/>
      <c r="AC47" s="2"/>
      <c r="AD47" s="2"/>
    </row>
    <row r="48" spans="1:30" s="7" customFormat="1" ht="15">
      <c r="A48" s="144" t="s">
        <v>96</v>
      </c>
      <c r="B48" s="22" t="s">
        <v>38</v>
      </c>
      <c r="C48" s="40">
        <v>5520000</v>
      </c>
      <c r="D48" s="43"/>
      <c r="E48" s="43">
        <v>1049479.49</v>
      </c>
      <c r="F48" s="44">
        <v>63938.66</v>
      </c>
      <c r="G48" s="44">
        <v>122214.24</v>
      </c>
      <c r="H48" s="44">
        <v>12813.13</v>
      </c>
      <c r="I48" s="44">
        <v>346223.54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133">
        <f t="shared" si="8"/>
        <v>1594669.0599999998</v>
      </c>
      <c r="R48" s="134">
        <f t="shared" si="20"/>
        <v>0.2888893224637681</v>
      </c>
      <c r="S48" s="133">
        <f t="shared" si="10"/>
        <v>3925330.9400000004</v>
      </c>
      <c r="T48" s="134">
        <f t="shared" si="11"/>
        <v>0.7111106775362319</v>
      </c>
      <c r="U48" s="133">
        <f>+C48-Q48</f>
        <v>3925330.9400000004</v>
      </c>
      <c r="V48" s="134">
        <f t="shared" si="21"/>
        <v>0.7111106775362319</v>
      </c>
      <c r="W48" s="3"/>
      <c r="X48" s="3"/>
      <c r="Y48" s="3"/>
      <c r="Z48" s="3"/>
      <c r="AA48" s="3"/>
      <c r="AB48" s="3"/>
      <c r="AC48" s="2"/>
      <c r="AD48" s="2"/>
    </row>
    <row r="49" spans="1:30" s="7" customFormat="1" ht="30">
      <c r="A49" s="130" t="s">
        <v>39</v>
      </c>
      <c r="B49" s="38" t="s">
        <v>354</v>
      </c>
      <c r="C49" s="70">
        <f>+C50+C51+C52</f>
        <v>1000000</v>
      </c>
      <c r="D49" s="70">
        <f>+D50+D51+D52</f>
        <v>0</v>
      </c>
      <c r="E49" s="70">
        <f>+E52</f>
        <v>6695</v>
      </c>
      <c r="F49" s="70">
        <f>+F51+F52</f>
        <v>936</v>
      </c>
      <c r="G49" s="70">
        <f aca="true" t="shared" si="22" ref="G49:P49">+G52</f>
        <v>5505.6</v>
      </c>
      <c r="H49" s="70">
        <f>+H50+H51+H52</f>
        <v>959513</v>
      </c>
      <c r="I49" s="70">
        <f t="shared" si="22"/>
        <v>736</v>
      </c>
      <c r="J49" s="70">
        <f t="shared" si="22"/>
        <v>0</v>
      </c>
      <c r="K49" s="70">
        <f t="shared" si="22"/>
        <v>0</v>
      </c>
      <c r="L49" s="70">
        <f t="shared" si="22"/>
        <v>0</v>
      </c>
      <c r="M49" s="70">
        <f t="shared" si="22"/>
        <v>0</v>
      </c>
      <c r="N49" s="70">
        <f t="shared" si="22"/>
        <v>0</v>
      </c>
      <c r="O49" s="70">
        <f t="shared" si="22"/>
        <v>0</v>
      </c>
      <c r="P49" s="70">
        <f t="shared" si="22"/>
        <v>0</v>
      </c>
      <c r="Q49" s="74">
        <f>SUM(E49:O49)</f>
        <v>973385.6</v>
      </c>
      <c r="R49" s="75">
        <f t="shared" si="20"/>
        <v>0.9733856</v>
      </c>
      <c r="S49" s="74">
        <f t="shared" si="10"/>
        <v>26614.400000000023</v>
      </c>
      <c r="T49" s="75">
        <f t="shared" si="11"/>
        <v>0.026614400000000024</v>
      </c>
      <c r="U49" s="74">
        <f>+C49+D49-Q49</f>
        <v>26614.400000000023</v>
      </c>
      <c r="V49" s="72">
        <f t="shared" si="21"/>
        <v>0.026614400000000024</v>
      </c>
      <c r="W49" s="3"/>
      <c r="X49" s="3"/>
      <c r="Y49" s="3"/>
      <c r="Z49" s="3"/>
      <c r="AA49" s="3"/>
      <c r="AB49" s="3"/>
      <c r="AC49" s="2"/>
      <c r="AD49" s="2"/>
    </row>
    <row r="50" spans="1:30" s="7" customFormat="1" ht="30">
      <c r="A50" s="145" t="s">
        <v>326</v>
      </c>
      <c r="B50" s="30" t="s">
        <v>327</v>
      </c>
      <c r="C50" s="40">
        <v>960000</v>
      </c>
      <c r="D50" s="41">
        <v>0</v>
      </c>
      <c r="E50" s="41">
        <v>0</v>
      </c>
      <c r="F50" s="41">
        <v>0</v>
      </c>
      <c r="G50" s="41">
        <v>0</v>
      </c>
      <c r="H50" s="41">
        <v>955800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133">
        <f>SUM(E50:P50)</f>
        <v>955800</v>
      </c>
      <c r="R50" s="134">
        <f>+Q50/C50</f>
        <v>0.995625</v>
      </c>
      <c r="S50" s="133">
        <f>+C50-Q50</f>
        <v>4200</v>
      </c>
      <c r="T50" s="134">
        <f>+S50/C50</f>
        <v>0.004375</v>
      </c>
      <c r="U50" s="133">
        <f>+C50-Q50</f>
        <v>4200</v>
      </c>
      <c r="V50" s="134">
        <f>+U50/C50</f>
        <v>0.004375</v>
      </c>
      <c r="W50" s="3"/>
      <c r="X50" s="3"/>
      <c r="Y50" s="3"/>
      <c r="Z50" s="3"/>
      <c r="AA50" s="3"/>
      <c r="AB50" s="3"/>
      <c r="AC50" s="2"/>
      <c r="AD50" s="2"/>
    </row>
    <row r="51" spans="1:30" s="7" customFormat="1" ht="30">
      <c r="A51" s="145" t="s">
        <v>285</v>
      </c>
      <c r="B51" s="30" t="s">
        <v>286</v>
      </c>
      <c r="C51" s="40">
        <v>20000</v>
      </c>
      <c r="D51" s="41"/>
      <c r="E51" s="41">
        <v>0</v>
      </c>
      <c r="F51" s="41">
        <v>236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133">
        <f>SUM(E51:P51)</f>
        <v>236</v>
      </c>
      <c r="R51" s="134">
        <f>+Q51/C51</f>
        <v>0.0118</v>
      </c>
      <c r="S51" s="133">
        <f>+C51-Q51</f>
        <v>19764</v>
      </c>
      <c r="T51" s="134">
        <f>+S51/C51</f>
        <v>0.9882</v>
      </c>
      <c r="U51" s="133">
        <f>+C51-Q51</f>
        <v>19764</v>
      </c>
      <c r="V51" s="134">
        <f>+U51/C51</f>
        <v>0.9882</v>
      </c>
      <c r="W51" s="3"/>
      <c r="X51" s="3"/>
      <c r="Y51" s="3"/>
      <c r="Z51" s="3"/>
      <c r="AA51" s="3"/>
      <c r="AB51" s="3"/>
      <c r="AC51" s="2"/>
      <c r="AD51" s="2"/>
    </row>
    <row r="52" spans="1:30" s="11" customFormat="1" ht="30">
      <c r="A52" s="145" t="s">
        <v>97</v>
      </c>
      <c r="B52" s="30" t="s">
        <v>273</v>
      </c>
      <c r="C52" s="40">
        <v>20000</v>
      </c>
      <c r="D52" s="41"/>
      <c r="E52" s="41">
        <v>6695</v>
      </c>
      <c r="F52" s="41">
        <v>700</v>
      </c>
      <c r="G52" s="41">
        <v>5505.6</v>
      </c>
      <c r="H52" s="41">
        <v>3713</v>
      </c>
      <c r="I52" s="41">
        <v>736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133">
        <f t="shared" si="8"/>
        <v>17349.6</v>
      </c>
      <c r="R52" s="134">
        <f t="shared" si="20"/>
        <v>0.8674799999999999</v>
      </c>
      <c r="S52" s="133">
        <f t="shared" si="10"/>
        <v>2650.4000000000015</v>
      </c>
      <c r="T52" s="134">
        <f t="shared" si="11"/>
        <v>0.13252000000000008</v>
      </c>
      <c r="U52" s="133">
        <f aca="true" t="shared" si="23" ref="U52:U60">+C52-Q52</f>
        <v>2650.4000000000015</v>
      </c>
      <c r="V52" s="134">
        <f t="shared" si="21"/>
        <v>0.13252000000000008</v>
      </c>
      <c r="W52" s="10"/>
      <c r="X52" s="10"/>
      <c r="Y52" s="10"/>
      <c r="Z52" s="10"/>
      <c r="AA52" s="10"/>
      <c r="AB52" s="10"/>
      <c r="AC52" s="1"/>
      <c r="AD52" s="1"/>
    </row>
    <row r="53" spans="1:30" s="7" customFormat="1" ht="17.25" customHeight="1" hidden="1">
      <c r="A53" s="145"/>
      <c r="B53" s="24"/>
      <c r="C53" s="41"/>
      <c r="D53" s="41"/>
      <c r="E53" s="41"/>
      <c r="F53" s="41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6">
        <f aca="true" t="shared" si="24" ref="Q53:Q60">SUM(E53:P53)</f>
        <v>0</v>
      </c>
      <c r="R53" s="47" t="e">
        <f t="shared" si="20"/>
        <v>#DIV/0!</v>
      </c>
      <c r="S53" s="48">
        <f t="shared" si="10"/>
        <v>0</v>
      </c>
      <c r="T53" s="49" t="e">
        <f t="shared" si="11"/>
        <v>#DIV/0!</v>
      </c>
      <c r="U53" s="46">
        <f t="shared" si="23"/>
        <v>0</v>
      </c>
      <c r="V53" s="47" t="e">
        <f t="shared" si="21"/>
        <v>#DIV/0!</v>
      </c>
      <c r="W53" s="3"/>
      <c r="X53" s="3"/>
      <c r="Y53" s="3"/>
      <c r="Z53" s="3"/>
      <c r="AA53" s="3"/>
      <c r="AB53" s="3"/>
      <c r="AC53" s="2"/>
      <c r="AD53" s="2"/>
    </row>
    <row r="54" spans="1:28" s="2" customFormat="1" ht="30">
      <c r="A54" s="130" t="s">
        <v>40</v>
      </c>
      <c r="B54" s="38" t="s">
        <v>274</v>
      </c>
      <c r="C54" s="70">
        <f>+C55+C57+C58+C59+C60</f>
        <v>7920000</v>
      </c>
      <c r="D54" s="70">
        <f>+D55+D56+D57+D58+D59+D60</f>
        <v>0</v>
      </c>
      <c r="E54" s="70">
        <f>+E55+E59+E60</f>
        <v>786993.87</v>
      </c>
      <c r="F54" s="70">
        <f>+F55+F57+F58+F59+F60</f>
        <v>897141.79</v>
      </c>
      <c r="G54" s="70">
        <f>+G55+G57+G58+G59+G60</f>
        <v>229708.54</v>
      </c>
      <c r="H54" s="70">
        <f>+H55+H56+H57+H58+H59+H60</f>
        <v>1982201.32</v>
      </c>
      <c r="I54" s="70">
        <f>+I55+I56+I57+I58+I59+I60</f>
        <v>3871070.5</v>
      </c>
      <c r="J54" s="70">
        <f aca="true" t="shared" si="25" ref="J54:P54">+J55</f>
        <v>0</v>
      </c>
      <c r="K54" s="70">
        <f t="shared" si="25"/>
        <v>0</v>
      </c>
      <c r="L54" s="70">
        <f t="shared" si="25"/>
        <v>0</v>
      </c>
      <c r="M54" s="70">
        <f t="shared" si="25"/>
        <v>0</v>
      </c>
      <c r="N54" s="70">
        <f t="shared" si="25"/>
        <v>0</v>
      </c>
      <c r="O54" s="70">
        <f t="shared" si="25"/>
        <v>0</v>
      </c>
      <c r="P54" s="70">
        <f t="shared" si="25"/>
        <v>0</v>
      </c>
      <c r="Q54" s="132">
        <f>SUM(E54:P54)</f>
        <v>7767116.0200000005</v>
      </c>
      <c r="R54" s="76">
        <f t="shared" si="20"/>
        <v>0.9806964671717172</v>
      </c>
      <c r="S54" s="132">
        <f aca="true" t="shared" si="26" ref="S54:S60">+C54-Q54</f>
        <v>152883.97999999952</v>
      </c>
      <c r="T54" s="76">
        <f aca="true" t="shared" si="27" ref="T54:T60">+S54/C54</f>
        <v>0.019303532828282767</v>
      </c>
      <c r="U54" s="74">
        <f>+C54+D54-Q54</f>
        <v>152883.97999999952</v>
      </c>
      <c r="V54" s="72">
        <f t="shared" si="21"/>
        <v>0.019303532828282767</v>
      </c>
      <c r="W54" s="3"/>
      <c r="X54" s="3"/>
      <c r="Y54" s="3"/>
      <c r="Z54" s="3"/>
      <c r="AA54" s="3"/>
      <c r="AB54" s="3"/>
    </row>
    <row r="55" spans="1:28" s="2" customFormat="1" ht="17.25" customHeight="1">
      <c r="A55" s="145" t="s">
        <v>98</v>
      </c>
      <c r="B55" s="39" t="s">
        <v>275</v>
      </c>
      <c r="C55" s="40">
        <f>400000-100000+250000+150000+250000</f>
        <v>950000</v>
      </c>
      <c r="D55" s="41"/>
      <c r="E55" s="41">
        <v>154770.06</v>
      </c>
      <c r="F55" s="41">
        <v>164116.7</v>
      </c>
      <c r="G55" s="41">
        <v>182420.95</v>
      </c>
      <c r="H55" s="41">
        <v>169024.7</v>
      </c>
      <c r="I55" s="41">
        <v>249875.42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133">
        <f t="shared" si="24"/>
        <v>920207.8300000001</v>
      </c>
      <c r="R55" s="134">
        <f t="shared" si="20"/>
        <v>0.9686398210526317</v>
      </c>
      <c r="S55" s="133">
        <f t="shared" si="26"/>
        <v>29792.169999999925</v>
      </c>
      <c r="T55" s="134">
        <f t="shared" si="27"/>
        <v>0.031360178947368346</v>
      </c>
      <c r="U55" s="133">
        <f t="shared" si="23"/>
        <v>29792.169999999925</v>
      </c>
      <c r="V55" s="134">
        <f t="shared" si="21"/>
        <v>0.031360178947368346</v>
      </c>
      <c r="W55" s="3"/>
      <c r="X55" s="3"/>
      <c r="Y55" s="3"/>
      <c r="Z55" s="3"/>
      <c r="AA55" s="3"/>
      <c r="AB55" s="3"/>
    </row>
    <row r="56" spans="1:28" s="2" customFormat="1" ht="17.25" customHeight="1">
      <c r="A56" s="145" t="s">
        <v>328</v>
      </c>
      <c r="B56" s="39" t="s">
        <v>329</v>
      </c>
      <c r="C56" s="40">
        <v>200000</v>
      </c>
      <c r="D56" s="41"/>
      <c r="E56" s="41">
        <v>0</v>
      </c>
      <c r="F56" s="41">
        <v>0</v>
      </c>
      <c r="G56" s="41">
        <v>0</v>
      </c>
      <c r="H56" s="41">
        <v>162840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133">
        <f>SUM(E56:P56)</f>
        <v>162840</v>
      </c>
      <c r="R56" s="134">
        <f>+Q56/C56</f>
        <v>0.8142</v>
      </c>
      <c r="S56" s="133">
        <f>+C56-Q56</f>
        <v>37160</v>
      </c>
      <c r="T56" s="134">
        <f>+S56/C56</f>
        <v>0.1858</v>
      </c>
      <c r="U56" s="133">
        <f>+C56-Q56</f>
        <v>37160</v>
      </c>
      <c r="V56" s="134">
        <f>+U56/C56</f>
        <v>0.1858</v>
      </c>
      <c r="W56" s="3"/>
      <c r="X56" s="3"/>
      <c r="Y56" s="3"/>
      <c r="Z56" s="3"/>
      <c r="AA56" s="3"/>
      <c r="AB56" s="3"/>
    </row>
    <row r="57" spans="1:28" s="2" customFormat="1" ht="15">
      <c r="A57" s="145" t="s">
        <v>311</v>
      </c>
      <c r="B57" s="30" t="s">
        <v>312</v>
      </c>
      <c r="C57" s="40">
        <v>100000</v>
      </c>
      <c r="D57" s="41"/>
      <c r="E57" s="41">
        <v>0</v>
      </c>
      <c r="F57" s="41">
        <v>0</v>
      </c>
      <c r="G57" s="41">
        <v>36000</v>
      </c>
      <c r="H57" s="41">
        <v>30000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133">
        <f t="shared" si="24"/>
        <v>66000</v>
      </c>
      <c r="R57" s="134">
        <f t="shared" si="20"/>
        <v>0.66</v>
      </c>
      <c r="S57" s="133">
        <f t="shared" si="26"/>
        <v>34000</v>
      </c>
      <c r="T57" s="134">
        <f t="shared" si="27"/>
        <v>0.34</v>
      </c>
      <c r="U57" s="133">
        <f t="shared" si="23"/>
        <v>34000</v>
      </c>
      <c r="V57" s="134">
        <f t="shared" si="21"/>
        <v>0.34</v>
      </c>
      <c r="W57" s="3"/>
      <c r="X57" s="3"/>
      <c r="Y57" s="3"/>
      <c r="Z57" s="3"/>
      <c r="AA57" s="3"/>
      <c r="AB57" s="3"/>
    </row>
    <row r="58" spans="1:28" s="2" customFormat="1" ht="33.75" customHeight="1">
      <c r="A58" s="145" t="s">
        <v>287</v>
      </c>
      <c r="B58" s="30" t="s">
        <v>288</v>
      </c>
      <c r="C58" s="40">
        <f>20000+50000</f>
        <v>70000</v>
      </c>
      <c r="D58" s="41"/>
      <c r="E58" s="41">
        <v>0</v>
      </c>
      <c r="F58" s="41">
        <v>6000</v>
      </c>
      <c r="G58" s="41">
        <v>6000</v>
      </c>
      <c r="H58" s="41">
        <v>6000</v>
      </c>
      <c r="I58" s="41">
        <v>6000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133">
        <f>SUM(E58:P58)</f>
        <v>24000</v>
      </c>
      <c r="R58" s="134">
        <f>+Q58/C58</f>
        <v>0.34285714285714286</v>
      </c>
      <c r="S58" s="133">
        <f t="shared" si="26"/>
        <v>46000</v>
      </c>
      <c r="T58" s="134">
        <f t="shared" si="27"/>
        <v>0.6571428571428571</v>
      </c>
      <c r="U58" s="133">
        <f>+C58-Q58</f>
        <v>46000</v>
      </c>
      <c r="V58" s="134">
        <f>+U58/C58</f>
        <v>0.6571428571428571</v>
      </c>
      <c r="W58" s="3"/>
      <c r="X58" s="3"/>
      <c r="Y58" s="3"/>
      <c r="Z58" s="3"/>
      <c r="AA58" s="3"/>
      <c r="AB58" s="3"/>
    </row>
    <row r="59" spans="1:28" s="2" customFormat="1" ht="17.25" customHeight="1">
      <c r="A59" s="145" t="s">
        <v>99</v>
      </c>
      <c r="B59" s="24" t="s">
        <v>276</v>
      </c>
      <c r="C59" s="41">
        <f>200000+100000</f>
        <v>300000</v>
      </c>
      <c r="D59" s="41"/>
      <c r="E59" s="41">
        <v>109533.5</v>
      </c>
      <c r="F59" s="41">
        <v>0</v>
      </c>
      <c r="G59" s="41">
        <v>0</v>
      </c>
      <c r="H59" s="41">
        <v>153901.5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133">
        <f t="shared" si="24"/>
        <v>263435</v>
      </c>
      <c r="R59" s="134">
        <f t="shared" si="20"/>
        <v>0.8781166666666667</v>
      </c>
      <c r="S59" s="133">
        <f t="shared" si="26"/>
        <v>36565</v>
      </c>
      <c r="T59" s="134">
        <f t="shared" si="27"/>
        <v>0.12188333333333333</v>
      </c>
      <c r="U59" s="133">
        <f t="shared" si="23"/>
        <v>36565</v>
      </c>
      <c r="V59" s="134">
        <f t="shared" si="21"/>
        <v>0.12188333333333333</v>
      </c>
      <c r="W59" s="3"/>
      <c r="X59" s="3"/>
      <c r="Y59" s="3"/>
      <c r="Z59" s="3"/>
      <c r="AA59" s="3"/>
      <c r="AB59" s="3"/>
    </row>
    <row r="60" spans="1:28" s="2" customFormat="1" ht="15">
      <c r="A60" s="145" t="s">
        <v>118</v>
      </c>
      <c r="B60" s="24" t="s">
        <v>119</v>
      </c>
      <c r="C60" s="41">
        <f>2000000+1000000+3500000</f>
        <v>6500000</v>
      </c>
      <c r="D60" s="41"/>
      <c r="E60" s="41">
        <v>522690.31</v>
      </c>
      <c r="F60" s="41">
        <v>727025.09</v>
      </c>
      <c r="G60" s="41">
        <v>5287.59</v>
      </c>
      <c r="H60" s="41">
        <v>1460435.12</v>
      </c>
      <c r="I60" s="41">
        <v>3615195.08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133">
        <f t="shared" si="24"/>
        <v>6330633.19</v>
      </c>
      <c r="R60" s="134">
        <f>+Q60/C60</f>
        <v>0.9739435676923077</v>
      </c>
      <c r="S60" s="133">
        <f t="shared" si="26"/>
        <v>169366.8099999996</v>
      </c>
      <c r="T60" s="134">
        <f t="shared" si="27"/>
        <v>0.026056432307692244</v>
      </c>
      <c r="U60" s="133">
        <f t="shared" si="23"/>
        <v>169366.8099999996</v>
      </c>
      <c r="V60" s="134">
        <f t="shared" si="21"/>
        <v>0.026056432307692244</v>
      </c>
      <c r="W60" s="3"/>
      <c r="X60" s="3"/>
      <c r="Y60" s="3"/>
      <c r="Z60" s="3"/>
      <c r="AA60" s="3"/>
      <c r="AB60" s="3"/>
    </row>
    <row r="61" spans="1:29" ht="15">
      <c r="A61" s="20" t="s">
        <v>261</v>
      </c>
      <c r="B61" s="8" t="s">
        <v>277</v>
      </c>
      <c r="C61" s="70">
        <f>SUM(C64:C64)</f>
        <v>35600000</v>
      </c>
      <c r="D61" s="70">
        <f>+D63+D64</f>
        <v>10100822.48</v>
      </c>
      <c r="E61" s="70">
        <f>SUM(E64:E64)</f>
        <v>3203385</v>
      </c>
      <c r="F61" s="70">
        <f aca="true" t="shared" si="28" ref="F61:P61">SUM(F64:F64)</f>
        <v>2944508</v>
      </c>
      <c r="G61" s="70">
        <f t="shared" si="28"/>
        <v>3203385</v>
      </c>
      <c r="H61" s="70">
        <f>+H63+H64</f>
        <v>3169770</v>
      </c>
      <c r="I61" s="70">
        <f t="shared" si="28"/>
        <v>3241980</v>
      </c>
      <c r="J61" s="70">
        <f t="shared" si="28"/>
        <v>0</v>
      </c>
      <c r="K61" s="70">
        <f t="shared" si="28"/>
        <v>0</v>
      </c>
      <c r="L61" s="70">
        <f t="shared" si="28"/>
        <v>0</v>
      </c>
      <c r="M61" s="70">
        <f t="shared" si="28"/>
        <v>0</v>
      </c>
      <c r="N61" s="70">
        <f t="shared" si="28"/>
        <v>0</v>
      </c>
      <c r="O61" s="70">
        <f t="shared" si="28"/>
        <v>0</v>
      </c>
      <c r="P61" s="70">
        <f t="shared" si="28"/>
        <v>0</v>
      </c>
      <c r="Q61" s="74">
        <f>SUM(E61:O62)</f>
        <v>15763028</v>
      </c>
      <c r="R61" s="75">
        <f t="shared" si="20"/>
        <v>0.4427816853932584</v>
      </c>
      <c r="S61" s="74">
        <f t="shared" si="10"/>
        <v>19836972</v>
      </c>
      <c r="T61" s="75">
        <f t="shared" si="11"/>
        <v>0.5572183146067415</v>
      </c>
      <c r="U61" s="74">
        <f>+C61+D61-Q61</f>
        <v>29937794.480000004</v>
      </c>
      <c r="V61" s="72">
        <f t="shared" si="21"/>
        <v>0.8409492831460675</v>
      </c>
      <c r="W61" s="28"/>
      <c r="X61" s="3"/>
      <c r="Y61" s="3"/>
      <c r="Z61" s="3"/>
      <c r="AA61" s="3"/>
      <c r="AB61" s="3"/>
      <c r="AC61" s="2"/>
    </row>
    <row r="62" spans="1:29" ht="17.25" customHeight="1" hidden="1">
      <c r="A62" s="138" t="s">
        <v>41</v>
      </c>
      <c r="B62" s="9" t="s">
        <v>42</v>
      </c>
      <c r="C62" s="41">
        <v>0</v>
      </c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54"/>
      <c r="R62" s="54"/>
      <c r="S62" s="52">
        <v>0</v>
      </c>
      <c r="T62" s="52"/>
      <c r="U62" s="54"/>
      <c r="V62" s="54"/>
      <c r="W62" s="3"/>
      <c r="X62" s="3"/>
      <c r="Y62" s="3"/>
      <c r="Z62" s="3"/>
      <c r="AA62" s="3"/>
      <c r="AB62" s="3"/>
      <c r="AC62" s="2"/>
    </row>
    <row r="63" spans="1:29" ht="17.25" customHeight="1">
      <c r="A63" s="144" t="s">
        <v>302</v>
      </c>
      <c r="B63" s="23" t="s">
        <v>303</v>
      </c>
      <c r="C63" s="40">
        <v>0</v>
      </c>
      <c r="D63" s="41">
        <v>10100822.48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134">
        <f>+Q63/D63</f>
        <v>0</v>
      </c>
      <c r="S63" s="133">
        <f>+C63-Q63</f>
        <v>0</v>
      </c>
      <c r="T63" s="134" t="e">
        <f>+S63/C63</f>
        <v>#DIV/0!</v>
      </c>
      <c r="U63" s="133">
        <f>+D63-Q63</f>
        <v>10100822.48</v>
      </c>
      <c r="V63" s="134">
        <f>+U63/D63</f>
        <v>1</v>
      </c>
      <c r="W63" s="139">
        <f>SUM(D63:Q63)</f>
        <v>10100822.48</v>
      </c>
      <c r="X63" s="3"/>
      <c r="Y63" s="3"/>
      <c r="Z63" s="3"/>
      <c r="AA63" s="3"/>
      <c r="AB63" s="3"/>
      <c r="AC63" s="2"/>
    </row>
    <row r="64" spans="1:29" s="3" customFormat="1" ht="15">
      <c r="A64" s="144" t="s">
        <v>122</v>
      </c>
      <c r="B64" s="23" t="s">
        <v>159</v>
      </c>
      <c r="C64" s="40">
        <f>39600000-4000000</f>
        <v>35600000</v>
      </c>
      <c r="D64" s="41"/>
      <c r="E64" s="41">
        <v>3203385</v>
      </c>
      <c r="F64" s="41">
        <v>2944508</v>
      </c>
      <c r="G64" s="41">
        <v>3203385</v>
      </c>
      <c r="H64" s="41">
        <v>3169770</v>
      </c>
      <c r="I64" s="41">
        <v>3241980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133">
        <f>SUM(E64:P64)</f>
        <v>15763028</v>
      </c>
      <c r="R64" s="134">
        <f>+Q64/C64</f>
        <v>0.4427816853932584</v>
      </c>
      <c r="S64" s="133">
        <f>+C64-Q64</f>
        <v>19836972</v>
      </c>
      <c r="T64" s="134">
        <f>+S64/C64</f>
        <v>0.5572183146067415</v>
      </c>
      <c r="U64" s="133">
        <f>+C64-Q64</f>
        <v>19836972</v>
      </c>
      <c r="V64" s="134">
        <f>+U64/C64</f>
        <v>0.5572183146067415</v>
      </c>
      <c r="AC64" s="2"/>
    </row>
    <row r="65" spans="1:29" s="3" customFormat="1" ht="17.25" customHeight="1" hidden="1">
      <c r="A65" s="25" t="s">
        <v>43</v>
      </c>
      <c r="B65" s="29" t="s">
        <v>44</v>
      </c>
      <c r="C65" s="41">
        <v>0</v>
      </c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54"/>
      <c r="R65" s="54"/>
      <c r="S65" s="52">
        <v>0</v>
      </c>
      <c r="T65" s="52"/>
      <c r="U65" s="54"/>
      <c r="V65" s="54"/>
      <c r="AC65" s="2"/>
    </row>
    <row r="66" spans="1:29" s="3" customFormat="1" ht="15">
      <c r="A66" s="20" t="s">
        <v>45</v>
      </c>
      <c r="B66" s="8" t="s">
        <v>355</v>
      </c>
      <c r="C66" s="70">
        <f aca="true" t="shared" si="29" ref="C66:I66">+C67+C74+C75</f>
        <v>6583220</v>
      </c>
      <c r="D66" s="70">
        <f t="shared" si="29"/>
        <v>0</v>
      </c>
      <c r="E66" s="70">
        <f t="shared" si="29"/>
        <v>1903681.1</v>
      </c>
      <c r="F66" s="70">
        <f t="shared" si="29"/>
        <v>367445.9</v>
      </c>
      <c r="G66" s="70">
        <f t="shared" si="29"/>
        <v>671400.4</v>
      </c>
      <c r="H66" s="70">
        <f t="shared" si="29"/>
        <v>3135.9</v>
      </c>
      <c r="I66" s="70">
        <f t="shared" si="29"/>
        <v>377240.1</v>
      </c>
      <c r="J66" s="70">
        <f aca="true" t="shared" si="30" ref="J66:P66">SUM(J67:J67)</f>
        <v>0</v>
      </c>
      <c r="K66" s="70">
        <f t="shared" si="30"/>
        <v>0</v>
      </c>
      <c r="L66" s="70">
        <f t="shared" si="30"/>
        <v>0</v>
      </c>
      <c r="M66" s="70">
        <f t="shared" si="30"/>
        <v>0</v>
      </c>
      <c r="N66" s="70">
        <f t="shared" si="30"/>
        <v>0</v>
      </c>
      <c r="O66" s="70">
        <f t="shared" si="30"/>
        <v>0</v>
      </c>
      <c r="P66" s="70">
        <f t="shared" si="30"/>
        <v>0</v>
      </c>
      <c r="Q66" s="74">
        <f aca="true" t="shared" si="31" ref="Q66:Q78">SUM(E66:P66)</f>
        <v>3322903.4</v>
      </c>
      <c r="R66" s="75">
        <f>+Q66/C66</f>
        <v>0.504753509680673</v>
      </c>
      <c r="S66" s="74">
        <f>+C66-Q66</f>
        <v>3260316.6</v>
      </c>
      <c r="T66" s="75">
        <f>+S66/C66</f>
        <v>0.49524649031932705</v>
      </c>
      <c r="U66" s="74">
        <f>+C66+D66-Q66</f>
        <v>3260316.6</v>
      </c>
      <c r="V66" s="72">
        <f>+U66/C66</f>
        <v>0.49524649031932705</v>
      </c>
      <c r="AC66" s="2"/>
    </row>
    <row r="67" spans="1:29" s="3" customFormat="1" ht="15">
      <c r="A67" s="144" t="s">
        <v>123</v>
      </c>
      <c r="B67" s="22" t="s">
        <v>148</v>
      </c>
      <c r="C67" s="40">
        <v>30000</v>
      </c>
      <c r="D67" s="41"/>
      <c r="E67" s="41">
        <v>6365</v>
      </c>
      <c r="F67" s="41">
        <v>5770</v>
      </c>
      <c r="G67" s="41">
        <v>5845</v>
      </c>
      <c r="H67" s="41">
        <v>3135.9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133">
        <f t="shared" si="31"/>
        <v>21115.9</v>
      </c>
      <c r="R67" s="134">
        <f>+Q67/C67</f>
        <v>0.7038633333333334</v>
      </c>
      <c r="S67" s="133">
        <f>+C67-Q67</f>
        <v>8884.099999999999</v>
      </c>
      <c r="T67" s="134">
        <f>+S67/C67</f>
        <v>0.2961366666666666</v>
      </c>
      <c r="U67" s="133">
        <f>+C67-Q67</f>
        <v>8884.099999999999</v>
      </c>
      <c r="V67" s="134">
        <f>+U67/C67</f>
        <v>0.2961366666666666</v>
      </c>
      <c r="AC67" s="2"/>
    </row>
    <row r="68" spans="1:29" s="3" customFormat="1" ht="17.25" customHeight="1" hidden="1">
      <c r="A68" s="146" t="s">
        <v>101</v>
      </c>
      <c r="B68" s="23" t="s">
        <v>47</v>
      </c>
      <c r="C68" s="41">
        <v>100000</v>
      </c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133">
        <f t="shared" si="31"/>
        <v>0</v>
      </c>
      <c r="R68" s="134">
        <f>+Q68/C68</f>
        <v>0</v>
      </c>
      <c r="S68" s="133">
        <f>+C68-Q68</f>
        <v>100000</v>
      </c>
      <c r="T68" s="134">
        <f>+S68/C68</f>
        <v>1</v>
      </c>
      <c r="U68" s="133">
        <f>SUM(D68:T68)</f>
        <v>100001</v>
      </c>
      <c r="V68" s="134" t="e">
        <f>+U68/#REF!</f>
        <v>#REF!</v>
      </c>
      <c r="AC68" s="2"/>
    </row>
    <row r="69" spans="1:29" s="12" customFormat="1" ht="17.25" customHeight="1" hidden="1">
      <c r="A69" s="20" t="s">
        <v>48</v>
      </c>
      <c r="B69" s="8" t="s">
        <v>49</v>
      </c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133">
        <f t="shared" si="31"/>
        <v>0</v>
      </c>
      <c r="R69" s="133"/>
      <c r="S69" s="133"/>
      <c r="T69" s="133"/>
      <c r="U69" s="133"/>
      <c r="V69" s="133"/>
      <c r="W69" s="1"/>
      <c r="X69" s="1"/>
      <c r="Y69" s="1"/>
      <c r="Z69" s="1"/>
      <c r="AA69" s="1"/>
      <c r="AB69" s="1"/>
      <c r="AC69" s="1"/>
    </row>
    <row r="70" spans="1:29" s="10" customFormat="1" ht="17.25" customHeight="1" hidden="1">
      <c r="A70" s="138" t="s">
        <v>50</v>
      </c>
      <c r="B70" s="9" t="s">
        <v>51</v>
      </c>
      <c r="C70" s="50">
        <v>0</v>
      </c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133">
        <f t="shared" si="31"/>
        <v>0</v>
      </c>
      <c r="R70" s="133"/>
      <c r="S70" s="135">
        <v>0</v>
      </c>
      <c r="T70" s="135"/>
      <c r="U70" s="133"/>
      <c r="V70" s="133"/>
      <c r="W70" s="1"/>
      <c r="X70" s="1"/>
      <c r="Y70" s="1"/>
      <c r="Z70" s="1"/>
      <c r="AA70" s="1"/>
      <c r="AB70" s="1"/>
      <c r="AC70" s="1"/>
    </row>
    <row r="71" spans="1:29" s="3" customFormat="1" ht="17.25" customHeight="1" hidden="1">
      <c r="A71" s="138" t="s">
        <v>52</v>
      </c>
      <c r="B71" s="9" t="s">
        <v>53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133">
        <f t="shared" si="31"/>
        <v>0</v>
      </c>
      <c r="R71" s="133"/>
      <c r="S71" s="133"/>
      <c r="T71" s="133"/>
      <c r="U71" s="133"/>
      <c r="V71" s="133"/>
      <c r="W71" s="1"/>
      <c r="X71" s="1"/>
      <c r="Y71" s="1"/>
      <c r="Z71" s="1"/>
      <c r="AA71" s="1"/>
      <c r="AB71" s="1"/>
      <c r="AC71" s="1"/>
    </row>
    <row r="72" spans="1:29" s="10" customFormat="1" ht="17.25" customHeight="1" hidden="1">
      <c r="A72" s="138" t="s">
        <v>54</v>
      </c>
      <c r="B72" s="9" t="s">
        <v>55</v>
      </c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133">
        <f t="shared" si="31"/>
        <v>0</v>
      </c>
      <c r="R72" s="133"/>
      <c r="S72" s="133"/>
      <c r="T72" s="133"/>
      <c r="U72" s="133"/>
      <c r="V72" s="133"/>
      <c r="W72" s="1"/>
      <c r="X72" s="1"/>
      <c r="Y72" s="1"/>
      <c r="Z72" s="1"/>
      <c r="AA72" s="1"/>
      <c r="AB72" s="1"/>
      <c r="AC72" s="1"/>
    </row>
    <row r="73" spans="1:29" s="10" customFormat="1" ht="69" customHeight="1" hidden="1">
      <c r="A73" s="138" t="s">
        <v>56</v>
      </c>
      <c r="B73" s="9" t="s">
        <v>57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133">
        <f t="shared" si="31"/>
        <v>0</v>
      </c>
      <c r="R73" s="133"/>
      <c r="S73" s="133"/>
      <c r="T73" s="133"/>
      <c r="U73" s="133"/>
      <c r="V73" s="133"/>
      <c r="W73" s="1"/>
      <c r="X73" s="1"/>
      <c r="Y73" s="1"/>
      <c r="Z73" s="1"/>
      <c r="AA73" s="1"/>
      <c r="AB73" s="1"/>
      <c r="AC73" s="1"/>
    </row>
    <row r="74" spans="1:29" s="10" customFormat="1" ht="15">
      <c r="A74" s="138" t="s">
        <v>100</v>
      </c>
      <c r="B74" s="9" t="s">
        <v>46</v>
      </c>
      <c r="C74" s="41">
        <v>6533220</v>
      </c>
      <c r="D74" s="41"/>
      <c r="E74" s="41">
        <v>1897316.1</v>
      </c>
      <c r="F74" s="41">
        <v>359310</v>
      </c>
      <c r="G74" s="41">
        <v>665555.4</v>
      </c>
      <c r="H74" s="41">
        <v>0</v>
      </c>
      <c r="I74" s="41">
        <v>377240.1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133">
        <f t="shared" si="31"/>
        <v>3299421.6</v>
      </c>
      <c r="R74" s="134">
        <f>+Q74/C74</f>
        <v>0.5050222707944934</v>
      </c>
      <c r="S74" s="133">
        <f aca="true" t="shared" si="32" ref="S74:S80">+C74-Q74</f>
        <v>3233798.4</v>
      </c>
      <c r="T74" s="134">
        <f aca="true" t="shared" si="33" ref="T74:T80">+S74/C74</f>
        <v>0.4949777292055066</v>
      </c>
      <c r="U74" s="133">
        <f>+C74-Q74</f>
        <v>3233798.4</v>
      </c>
      <c r="V74" s="134">
        <f aca="true" t="shared" si="34" ref="V74:V93">+U74/C74</f>
        <v>0.4949777292055066</v>
      </c>
      <c r="W74" s="1"/>
      <c r="X74" s="1"/>
      <c r="Y74" s="1"/>
      <c r="Z74" s="1"/>
      <c r="AA74" s="1"/>
      <c r="AB74" s="1"/>
      <c r="AC74" s="1"/>
    </row>
    <row r="75" spans="1:29" s="10" customFormat="1" ht="15">
      <c r="A75" s="138" t="s">
        <v>101</v>
      </c>
      <c r="B75" s="9" t="s">
        <v>289</v>
      </c>
      <c r="C75" s="41">
        <v>20000</v>
      </c>
      <c r="D75" s="41"/>
      <c r="E75" s="41">
        <v>0</v>
      </c>
      <c r="F75" s="41">
        <v>2365.9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133">
        <f t="shared" si="31"/>
        <v>2365.9</v>
      </c>
      <c r="R75" s="134">
        <f>+Q75/C75</f>
        <v>0.11829500000000001</v>
      </c>
      <c r="S75" s="133">
        <f t="shared" si="32"/>
        <v>17634.1</v>
      </c>
      <c r="T75" s="134">
        <f t="shared" si="33"/>
        <v>0.881705</v>
      </c>
      <c r="U75" s="133">
        <f>+C75-Q75</f>
        <v>17634.1</v>
      </c>
      <c r="V75" s="134">
        <f t="shared" si="34"/>
        <v>0.881705</v>
      </c>
      <c r="W75" s="1"/>
      <c r="X75" s="1"/>
      <c r="Y75" s="1"/>
      <c r="Z75" s="1"/>
      <c r="AA75" s="1"/>
      <c r="AB75" s="1"/>
      <c r="AC75" s="1"/>
    </row>
    <row r="76" spans="1:22" s="13" customFormat="1" ht="15">
      <c r="A76" s="20" t="s">
        <v>48</v>
      </c>
      <c r="B76" s="8" t="s">
        <v>278</v>
      </c>
      <c r="C76" s="70">
        <f>+C77+C78+C79+C80</f>
        <v>1520000</v>
      </c>
      <c r="D76" s="70">
        <f>+D77+D78+D79+D80</f>
        <v>17595977.5</v>
      </c>
      <c r="E76" s="70">
        <f>+E78+E79+E80</f>
        <v>1063475</v>
      </c>
      <c r="F76" s="70">
        <f>+F77+F78+F79+F80</f>
        <v>2578.3</v>
      </c>
      <c r="G76" s="70">
        <f aca="true" t="shared" si="35" ref="G76:P76">+G77+G78+G79+G80</f>
        <v>3463133.7</v>
      </c>
      <c r="H76" s="70">
        <f>+H77+H78+H79+H80</f>
        <v>163253</v>
      </c>
      <c r="I76" s="70">
        <f t="shared" si="35"/>
        <v>7048448.05</v>
      </c>
      <c r="J76" s="70">
        <f t="shared" si="35"/>
        <v>0</v>
      </c>
      <c r="K76" s="70">
        <f t="shared" si="35"/>
        <v>0</v>
      </c>
      <c r="L76" s="70">
        <f t="shared" si="35"/>
        <v>0</v>
      </c>
      <c r="M76" s="70">
        <f t="shared" si="35"/>
        <v>0</v>
      </c>
      <c r="N76" s="70">
        <f t="shared" si="35"/>
        <v>0</v>
      </c>
      <c r="O76" s="70">
        <f t="shared" si="35"/>
        <v>0</v>
      </c>
      <c r="P76" s="70">
        <f t="shared" si="35"/>
        <v>0</v>
      </c>
      <c r="Q76" s="74">
        <f>SUM(E76:P76)</f>
        <v>11740888.05</v>
      </c>
      <c r="R76" s="75">
        <f>+Q76/(C76+D76)</f>
        <v>0.614192397432985</v>
      </c>
      <c r="S76" s="74">
        <f t="shared" si="32"/>
        <v>-10220888.05</v>
      </c>
      <c r="T76" s="75">
        <f t="shared" si="33"/>
        <v>-6.724268453947369</v>
      </c>
      <c r="U76" s="74">
        <f>+C76+D76-Q76</f>
        <v>7375089.449999999</v>
      </c>
      <c r="V76" s="72">
        <f t="shared" si="34"/>
        <v>4.852032532894737</v>
      </c>
    </row>
    <row r="77" spans="1:22" s="13" customFormat="1" ht="15">
      <c r="A77" s="146" t="s">
        <v>290</v>
      </c>
      <c r="B77" s="23" t="s">
        <v>291</v>
      </c>
      <c r="C77" s="41">
        <v>20000</v>
      </c>
      <c r="D77" s="41"/>
      <c r="E77" s="41">
        <v>0</v>
      </c>
      <c r="F77" s="40">
        <v>2578.3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133">
        <f t="shared" si="31"/>
        <v>2578.3</v>
      </c>
      <c r="R77" s="134">
        <f>+Q77/C77</f>
        <v>0.128915</v>
      </c>
      <c r="S77" s="133">
        <f t="shared" si="32"/>
        <v>17421.7</v>
      </c>
      <c r="T77" s="134">
        <f t="shared" si="33"/>
        <v>0.871085</v>
      </c>
      <c r="U77" s="133">
        <f>+C77-Q77</f>
        <v>17421.7</v>
      </c>
      <c r="V77" s="134">
        <f t="shared" si="34"/>
        <v>0.871085</v>
      </c>
    </row>
    <row r="78" spans="1:29" s="3" customFormat="1" ht="15">
      <c r="A78" s="146" t="s">
        <v>133</v>
      </c>
      <c r="B78" s="23" t="s">
        <v>53</v>
      </c>
      <c r="C78" s="41">
        <f>300000+100000</f>
        <v>400000</v>
      </c>
      <c r="D78" s="41"/>
      <c r="E78" s="41">
        <v>190275</v>
      </c>
      <c r="F78" s="40">
        <v>0</v>
      </c>
      <c r="G78" s="40">
        <v>0</v>
      </c>
      <c r="H78" s="40">
        <v>163253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133">
        <f t="shared" si="31"/>
        <v>353528</v>
      </c>
      <c r="R78" s="134">
        <f>+Q78/C78</f>
        <v>0.88382</v>
      </c>
      <c r="S78" s="133">
        <f t="shared" si="32"/>
        <v>46472</v>
      </c>
      <c r="T78" s="134">
        <f t="shared" si="33"/>
        <v>0.11618</v>
      </c>
      <c r="U78" s="133">
        <f>+C78-Q78</f>
        <v>46472</v>
      </c>
      <c r="V78" s="134">
        <f t="shared" si="34"/>
        <v>0.11618</v>
      </c>
      <c r="AC78" s="2"/>
    </row>
    <row r="79" spans="1:29" s="3" customFormat="1" ht="15">
      <c r="A79" s="144" t="s">
        <v>134</v>
      </c>
      <c r="B79" s="22" t="s">
        <v>160</v>
      </c>
      <c r="C79" s="40">
        <v>700000</v>
      </c>
      <c r="D79" s="40">
        <f>17595977.5-1024877.7-1020000</f>
        <v>15551099.8</v>
      </c>
      <c r="E79" s="40">
        <v>507400</v>
      </c>
      <c r="F79" s="40">
        <v>0</v>
      </c>
      <c r="G79" s="40">
        <v>2438256</v>
      </c>
      <c r="H79" s="40">
        <v>0</v>
      </c>
      <c r="I79" s="40">
        <v>6029149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133">
        <f aca="true" t="shared" si="36" ref="Q79:Q89">SUM(E79:P79)</f>
        <v>8974805</v>
      </c>
      <c r="R79" s="134">
        <f>+Q79/C79</f>
        <v>12.82115</v>
      </c>
      <c r="S79" s="133">
        <f t="shared" si="32"/>
        <v>-8274805</v>
      </c>
      <c r="T79" s="134">
        <f t="shared" si="33"/>
        <v>-11.82115</v>
      </c>
      <c r="U79" s="133">
        <f>+C79-Q79+D79</f>
        <v>7276294.800000001</v>
      </c>
      <c r="V79" s="134">
        <f t="shared" si="34"/>
        <v>10.394706857142857</v>
      </c>
      <c r="AC79" s="2"/>
    </row>
    <row r="80" spans="1:29" s="3" customFormat="1" ht="15">
      <c r="A80" s="144" t="s">
        <v>135</v>
      </c>
      <c r="B80" s="22" t="s">
        <v>57</v>
      </c>
      <c r="C80" s="40">
        <v>400000</v>
      </c>
      <c r="D80" s="40">
        <f>1024877.7+1020000</f>
        <v>2044877.7</v>
      </c>
      <c r="E80" s="40">
        <v>365800</v>
      </c>
      <c r="F80" s="40">
        <v>0</v>
      </c>
      <c r="G80" s="40">
        <v>1024877.7</v>
      </c>
      <c r="H80" s="40">
        <v>0</v>
      </c>
      <c r="I80" s="40">
        <v>1019299.05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133">
        <f t="shared" si="36"/>
        <v>2409976.75</v>
      </c>
      <c r="R80" s="134">
        <f>+Q80/(D80+C80)</f>
        <v>0.9857248687735995</v>
      </c>
      <c r="S80" s="133">
        <f t="shared" si="32"/>
        <v>-2009976.75</v>
      </c>
      <c r="T80" s="134">
        <f t="shared" si="33"/>
        <v>-5.024941875</v>
      </c>
      <c r="U80" s="133">
        <f>+C80+D80-Q80</f>
        <v>34900.950000000186</v>
      </c>
      <c r="V80" s="134">
        <f t="shared" si="34"/>
        <v>0.08725237500000046</v>
      </c>
      <c r="AC80" s="2"/>
    </row>
    <row r="81" spans="1:29" s="3" customFormat="1" ht="15">
      <c r="A81" s="20" t="s">
        <v>294</v>
      </c>
      <c r="B81" s="8" t="s">
        <v>295</v>
      </c>
      <c r="C81" s="70">
        <f>+C82+C83+C84+C85</f>
        <v>750000</v>
      </c>
      <c r="D81" s="70">
        <f>+D82+D83+D84+D85</f>
        <v>0</v>
      </c>
      <c r="E81" s="70"/>
      <c r="F81" s="70">
        <f>+F85</f>
        <v>21000</v>
      </c>
      <c r="G81" s="70">
        <f>+G82+G83+G84+G85</f>
        <v>165354.99</v>
      </c>
      <c r="H81" s="70">
        <f>+H82+H83+H84+H85</f>
        <v>283130</v>
      </c>
      <c r="I81" s="70">
        <f>+I82+I83+I84+I85</f>
        <v>114883.25</v>
      </c>
      <c r="J81" s="70">
        <f aca="true" t="shared" si="37" ref="J81:P81">+J85</f>
        <v>0</v>
      </c>
      <c r="K81" s="70">
        <f t="shared" si="37"/>
        <v>0</v>
      </c>
      <c r="L81" s="70">
        <f t="shared" si="37"/>
        <v>0</v>
      </c>
      <c r="M81" s="70">
        <f t="shared" si="37"/>
        <v>0</v>
      </c>
      <c r="N81" s="70">
        <f t="shared" si="37"/>
        <v>0</v>
      </c>
      <c r="O81" s="70">
        <f t="shared" si="37"/>
        <v>0</v>
      </c>
      <c r="P81" s="70">
        <f t="shared" si="37"/>
        <v>0</v>
      </c>
      <c r="Q81" s="74">
        <f t="shared" si="36"/>
        <v>584368.24</v>
      </c>
      <c r="R81" s="75">
        <f aca="true" t="shared" si="38" ref="R81:R93">+Q81/C81</f>
        <v>0.7791576533333333</v>
      </c>
      <c r="S81" s="74">
        <f aca="true" t="shared" si="39" ref="S81:S87">+C81-Q81</f>
        <v>165631.76</v>
      </c>
      <c r="T81" s="75">
        <f aca="true" t="shared" si="40" ref="T81:T87">+S81/C81</f>
        <v>0.2208423466666667</v>
      </c>
      <c r="U81" s="74">
        <f>+C81+D81-Q81</f>
        <v>165631.76</v>
      </c>
      <c r="V81" s="72">
        <f t="shared" si="34"/>
        <v>0.2208423466666667</v>
      </c>
      <c r="AC81" s="2"/>
    </row>
    <row r="82" spans="1:29" s="3" customFormat="1" ht="15">
      <c r="A82" s="144" t="s">
        <v>313</v>
      </c>
      <c r="B82" s="22" t="s">
        <v>314</v>
      </c>
      <c r="C82" s="41">
        <v>20000</v>
      </c>
      <c r="D82" s="41"/>
      <c r="E82" s="41">
        <v>0</v>
      </c>
      <c r="F82" s="41">
        <v>0</v>
      </c>
      <c r="G82" s="41">
        <v>10620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133">
        <f t="shared" si="36"/>
        <v>10620</v>
      </c>
      <c r="R82" s="134">
        <f>+Q82/C82</f>
        <v>0.531</v>
      </c>
      <c r="S82" s="133">
        <f t="shared" si="39"/>
        <v>9380</v>
      </c>
      <c r="T82" s="134">
        <f t="shared" si="40"/>
        <v>0.469</v>
      </c>
      <c r="U82" s="133">
        <f>+C82-Q82</f>
        <v>9380</v>
      </c>
      <c r="V82" s="134">
        <f t="shared" si="34"/>
        <v>0.469</v>
      </c>
      <c r="AC82" s="2"/>
    </row>
    <row r="83" spans="1:29" s="3" customFormat="1" ht="15">
      <c r="A83" s="144" t="s">
        <v>315</v>
      </c>
      <c r="B83" s="22" t="s">
        <v>316</v>
      </c>
      <c r="C83" s="41">
        <f>10000+100000</f>
        <v>110000</v>
      </c>
      <c r="D83" s="41"/>
      <c r="E83" s="41">
        <v>0</v>
      </c>
      <c r="F83" s="41">
        <v>0</v>
      </c>
      <c r="G83" s="41">
        <v>1034.99</v>
      </c>
      <c r="H83" s="41">
        <v>234</v>
      </c>
      <c r="I83" s="41">
        <v>97583.25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133">
        <f t="shared" si="36"/>
        <v>98852.24</v>
      </c>
      <c r="R83" s="134">
        <f>+Q83/C83</f>
        <v>0.8986567272727273</v>
      </c>
      <c r="S83" s="133">
        <f t="shared" si="39"/>
        <v>11147.759999999995</v>
      </c>
      <c r="T83" s="134">
        <f t="shared" si="40"/>
        <v>0.10134327272727268</v>
      </c>
      <c r="U83" s="133">
        <f>+C83-Q83</f>
        <v>11147.759999999995</v>
      </c>
      <c r="V83" s="134">
        <f t="shared" si="34"/>
        <v>0.10134327272727268</v>
      </c>
      <c r="AC83" s="2"/>
    </row>
    <row r="84" spans="1:29" s="3" customFormat="1" ht="15">
      <c r="A84" s="144" t="s">
        <v>317</v>
      </c>
      <c r="B84" s="22" t="s">
        <v>318</v>
      </c>
      <c r="C84" s="41">
        <f>300000+150000</f>
        <v>450000</v>
      </c>
      <c r="D84" s="41"/>
      <c r="E84" s="41">
        <v>0</v>
      </c>
      <c r="F84" s="41">
        <v>0</v>
      </c>
      <c r="G84" s="41">
        <v>147500</v>
      </c>
      <c r="H84" s="41">
        <v>256296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/>
      <c r="Q84" s="133">
        <f t="shared" si="36"/>
        <v>403796</v>
      </c>
      <c r="R84" s="134">
        <f>+Q84/C84</f>
        <v>0.8973244444444445</v>
      </c>
      <c r="S84" s="133">
        <f t="shared" si="39"/>
        <v>46204</v>
      </c>
      <c r="T84" s="134">
        <f t="shared" si="40"/>
        <v>0.10267555555555556</v>
      </c>
      <c r="U84" s="133">
        <f>+C84-Q84</f>
        <v>46204</v>
      </c>
      <c r="V84" s="134">
        <f t="shared" si="34"/>
        <v>0.10267555555555556</v>
      </c>
      <c r="AC84" s="2"/>
    </row>
    <row r="85" spans="1:29" s="3" customFormat="1" ht="15">
      <c r="A85" s="144" t="s">
        <v>293</v>
      </c>
      <c r="B85" s="22" t="s">
        <v>292</v>
      </c>
      <c r="C85" s="41">
        <f>100000-20000-10000+100000</f>
        <v>170000</v>
      </c>
      <c r="D85" s="41"/>
      <c r="E85" s="41">
        <v>0</v>
      </c>
      <c r="F85" s="41">
        <v>21000</v>
      </c>
      <c r="G85" s="41">
        <v>6200</v>
      </c>
      <c r="H85" s="41">
        <v>26600</v>
      </c>
      <c r="I85" s="41">
        <v>17300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133">
        <f t="shared" si="36"/>
        <v>71100</v>
      </c>
      <c r="R85" s="134">
        <f t="shared" si="38"/>
        <v>0.41823529411764704</v>
      </c>
      <c r="S85" s="133">
        <f t="shared" si="39"/>
        <v>98900</v>
      </c>
      <c r="T85" s="134">
        <f t="shared" si="40"/>
        <v>0.581764705882353</v>
      </c>
      <c r="U85" s="133">
        <f>+C85-Q85</f>
        <v>98900</v>
      </c>
      <c r="V85" s="134">
        <f t="shared" si="34"/>
        <v>0.581764705882353</v>
      </c>
      <c r="AC85" s="2"/>
    </row>
    <row r="86" spans="1:29" s="3" customFormat="1" ht="15">
      <c r="A86" s="20" t="s">
        <v>298</v>
      </c>
      <c r="B86" s="8" t="s">
        <v>299</v>
      </c>
      <c r="C86" s="70">
        <f>+C87+C88</f>
        <v>4050010.46</v>
      </c>
      <c r="D86" s="70">
        <f>+D87+D88</f>
        <v>0</v>
      </c>
      <c r="E86" s="70">
        <f>+E87</f>
        <v>0</v>
      </c>
      <c r="F86" s="70">
        <f>+F87</f>
        <v>2872561.84</v>
      </c>
      <c r="G86" s="70">
        <f aca="true" t="shared" si="41" ref="G86:P86">+G87</f>
        <v>0</v>
      </c>
      <c r="H86" s="70">
        <f t="shared" si="41"/>
        <v>0</v>
      </c>
      <c r="I86" s="70">
        <f>+I87+I88</f>
        <v>1050010.46</v>
      </c>
      <c r="J86" s="70">
        <f t="shared" si="41"/>
        <v>0</v>
      </c>
      <c r="K86" s="70">
        <f t="shared" si="41"/>
        <v>0</v>
      </c>
      <c r="L86" s="70">
        <f t="shared" si="41"/>
        <v>0</v>
      </c>
      <c r="M86" s="70">
        <f t="shared" si="41"/>
        <v>0</v>
      </c>
      <c r="N86" s="70">
        <f t="shared" si="41"/>
        <v>0</v>
      </c>
      <c r="O86" s="70">
        <f t="shared" si="41"/>
        <v>0</v>
      </c>
      <c r="P86" s="70">
        <f t="shared" si="41"/>
        <v>0</v>
      </c>
      <c r="Q86" s="74">
        <f t="shared" si="36"/>
        <v>3922572.3</v>
      </c>
      <c r="R86" s="75">
        <f t="shared" si="38"/>
        <v>0.9685338689224027</v>
      </c>
      <c r="S86" s="74">
        <f t="shared" si="39"/>
        <v>127438.16000000015</v>
      </c>
      <c r="T86" s="75">
        <f t="shared" si="40"/>
        <v>0.031466131077597305</v>
      </c>
      <c r="U86" s="74">
        <f>+C86+D86-Q86</f>
        <v>127438.16000000015</v>
      </c>
      <c r="V86" s="72">
        <f t="shared" si="34"/>
        <v>0.031466131077597305</v>
      </c>
      <c r="AC86" s="2"/>
    </row>
    <row r="87" spans="1:29" s="3" customFormat="1" ht="15">
      <c r="A87" s="144" t="s">
        <v>297</v>
      </c>
      <c r="B87" s="22" t="s">
        <v>296</v>
      </c>
      <c r="C87" s="41">
        <v>3000000</v>
      </c>
      <c r="D87" s="41"/>
      <c r="E87" s="41">
        <v>0</v>
      </c>
      <c r="F87" s="41">
        <v>2872561.84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41">
        <v>0</v>
      </c>
      <c r="Q87" s="133">
        <f t="shared" si="36"/>
        <v>2872561.84</v>
      </c>
      <c r="R87" s="134">
        <f>+Q87/C87</f>
        <v>0.9575206133333333</v>
      </c>
      <c r="S87" s="133">
        <f t="shared" si="39"/>
        <v>127438.16000000015</v>
      </c>
      <c r="T87" s="134">
        <f t="shared" si="40"/>
        <v>0.042479386666666716</v>
      </c>
      <c r="U87" s="133">
        <f>+C87-Q87</f>
        <v>127438.16000000015</v>
      </c>
      <c r="V87" s="134">
        <f t="shared" si="34"/>
        <v>0.042479386666666716</v>
      </c>
      <c r="AC87" s="2"/>
    </row>
    <row r="88" spans="1:29" s="3" customFormat="1" ht="15">
      <c r="A88" s="144" t="s">
        <v>341</v>
      </c>
      <c r="B88" s="22" t="s">
        <v>340</v>
      </c>
      <c r="C88" s="41">
        <v>1050010.46</v>
      </c>
      <c r="D88" s="41"/>
      <c r="E88" s="41"/>
      <c r="F88" s="41"/>
      <c r="G88" s="41"/>
      <c r="H88" s="41"/>
      <c r="I88" s="41">
        <v>1050010.46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133">
        <f>SUM(E88:P88)</f>
        <v>1050010.46</v>
      </c>
      <c r="R88" s="134">
        <f t="shared" si="38"/>
        <v>1</v>
      </c>
      <c r="S88" s="133">
        <f>+C88-Q88</f>
        <v>0</v>
      </c>
      <c r="T88" s="134">
        <f>+S88/C88</f>
        <v>0</v>
      </c>
      <c r="U88" s="133">
        <f>+C88-Q88</f>
        <v>0</v>
      </c>
      <c r="V88" s="134">
        <f>+U88/C88</f>
        <v>0</v>
      </c>
      <c r="AC88" s="2"/>
    </row>
    <row r="89" spans="1:29" s="12" customFormat="1" ht="15">
      <c r="A89" s="20" t="s">
        <v>58</v>
      </c>
      <c r="B89" s="8" t="s">
        <v>279</v>
      </c>
      <c r="C89" s="70">
        <f>+C90+C92</f>
        <v>270000</v>
      </c>
      <c r="D89" s="70">
        <f>+D90+D91+D92</f>
        <v>0</v>
      </c>
      <c r="E89" s="70">
        <f>+E90+E92</f>
        <v>74235.76</v>
      </c>
      <c r="F89" s="70">
        <f aca="true" t="shared" si="42" ref="F89:P89">+F90+F92</f>
        <v>1298</v>
      </c>
      <c r="G89" s="70">
        <f t="shared" si="42"/>
        <v>4023.58</v>
      </c>
      <c r="H89" s="70">
        <f>+H90+H91+H92</f>
        <v>151553.95</v>
      </c>
      <c r="I89" s="70">
        <f>+I90+I91+I92</f>
        <v>2721.8</v>
      </c>
      <c r="J89" s="70">
        <f t="shared" si="42"/>
        <v>0</v>
      </c>
      <c r="K89" s="70">
        <f t="shared" si="42"/>
        <v>0</v>
      </c>
      <c r="L89" s="70">
        <f t="shared" si="42"/>
        <v>0</v>
      </c>
      <c r="M89" s="70">
        <f t="shared" si="42"/>
        <v>0</v>
      </c>
      <c r="N89" s="70">
        <f t="shared" si="42"/>
        <v>0</v>
      </c>
      <c r="O89" s="70">
        <f t="shared" si="42"/>
        <v>0</v>
      </c>
      <c r="P89" s="70">
        <f t="shared" si="42"/>
        <v>0</v>
      </c>
      <c r="Q89" s="74">
        <f t="shared" si="36"/>
        <v>233833.09</v>
      </c>
      <c r="R89" s="75">
        <f t="shared" si="38"/>
        <v>0.8660484814814815</v>
      </c>
      <c r="S89" s="74">
        <f aca="true" t="shared" si="43" ref="S89:S95">+C89-Q89</f>
        <v>36166.91</v>
      </c>
      <c r="T89" s="75">
        <f aca="true" t="shared" si="44" ref="T89:T95">+S89/C89</f>
        <v>0.13395151851851853</v>
      </c>
      <c r="U89" s="74">
        <f>+U90+U91+U92</f>
        <v>46166.91</v>
      </c>
      <c r="V89" s="72">
        <f t="shared" si="34"/>
        <v>0.17098855555555556</v>
      </c>
      <c r="W89" s="1"/>
      <c r="X89" s="1"/>
      <c r="Y89" s="1"/>
      <c r="Z89" s="1"/>
      <c r="AA89" s="1"/>
      <c r="AB89" s="1"/>
      <c r="AC89" s="1"/>
    </row>
    <row r="90" spans="1:29" s="3" customFormat="1" ht="15">
      <c r="A90" s="144" t="s">
        <v>102</v>
      </c>
      <c r="B90" s="22" t="s">
        <v>59</v>
      </c>
      <c r="C90" s="41">
        <v>20000</v>
      </c>
      <c r="D90" s="41"/>
      <c r="E90" s="41">
        <v>7570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133">
        <f aca="true" t="shared" si="45" ref="Q90:Q95">SUM(E90:P90)</f>
        <v>7570</v>
      </c>
      <c r="R90" s="134">
        <f t="shared" si="38"/>
        <v>0.3785</v>
      </c>
      <c r="S90" s="133">
        <f t="shared" si="43"/>
        <v>12430</v>
      </c>
      <c r="T90" s="134">
        <f t="shared" si="44"/>
        <v>0.6215</v>
      </c>
      <c r="U90" s="133">
        <f>+C90-Q90</f>
        <v>12430</v>
      </c>
      <c r="V90" s="134">
        <f t="shared" si="34"/>
        <v>0.6215</v>
      </c>
      <c r="W90" s="2"/>
      <c r="X90" s="2"/>
      <c r="Y90" s="2"/>
      <c r="Z90" s="2"/>
      <c r="AA90" s="2"/>
      <c r="AB90" s="2"/>
      <c r="AC90" s="17"/>
    </row>
    <row r="91" spans="1:29" s="3" customFormat="1" ht="15">
      <c r="A91" s="144" t="s">
        <v>330</v>
      </c>
      <c r="B91" s="22" t="s">
        <v>331</v>
      </c>
      <c r="C91" s="41">
        <v>10000</v>
      </c>
      <c r="D91" s="41"/>
      <c r="E91" s="41">
        <v>0</v>
      </c>
      <c r="F91" s="41">
        <v>0</v>
      </c>
      <c r="G91" s="41">
        <v>0</v>
      </c>
      <c r="H91" s="41">
        <v>1500</v>
      </c>
      <c r="I91" s="41">
        <v>1000</v>
      </c>
      <c r="J91" s="41"/>
      <c r="K91" s="41"/>
      <c r="L91" s="41"/>
      <c r="M91" s="41"/>
      <c r="N91" s="41"/>
      <c r="O91" s="41"/>
      <c r="P91" s="41"/>
      <c r="Q91" s="133">
        <f t="shared" si="45"/>
        <v>2500</v>
      </c>
      <c r="R91" s="134">
        <f>+Q91/C91</f>
        <v>0.25</v>
      </c>
      <c r="S91" s="133">
        <f t="shared" si="43"/>
        <v>7500</v>
      </c>
      <c r="T91" s="134">
        <f t="shared" si="44"/>
        <v>0.75</v>
      </c>
      <c r="U91" s="133">
        <f>+C91-Q91</f>
        <v>7500</v>
      </c>
      <c r="V91" s="134">
        <f>+U91/C91</f>
        <v>0.75</v>
      </c>
      <c r="W91" s="2"/>
      <c r="X91" s="2"/>
      <c r="Y91" s="2"/>
      <c r="Z91" s="2"/>
      <c r="AA91" s="2"/>
      <c r="AB91" s="2"/>
      <c r="AC91" s="17"/>
    </row>
    <row r="92" spans="1:29" s="3" customFormat="1" ht="15">
      <c r="A92" s="144" t="s">
        <v>103</v>
      </c>
      <c r="B92" s="22" t="s">
        <v>319</v>
      </c>
      <c r="C92" s="36">
        <f>100000+150000</f>
        <v>250000</v>
      </c>
      <c r="D92" s="41"/>
      <c r="E92" s="41">
        <v>66665.76</v>
      </c>
      <c r="F92" s="40">
        <v>1298</v>
      </c>
      <c r="G92" s="40">
        <v>4023.58</v>
      </c>
      <c r="H92" s="40">
        <v>150053.95</v>
      </c>
      <c r="I92" s="40">
        <v>1721.8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133">
        <f t="shared" si="45"/>
        <v>223763.09</v>
      </c>
      <c r="R92" s="134">
        <f t="shared" si="38"/>
        <v>0.89505236</v>
      </c>
      <c r="S92" s="133">
        <f t="shared" si="43"/>
        <v>26236.910000000003</v>
      </c>
      <c r="T92" s="134">
        <f t="shared" si="44"/>
        <v>0.10494764000000001</v>
      </c>
      <c r="U92" s="133">
        <f>+C92-Q92</f>
        <v>26236.910000000003</v>
      </c>
      <c r="V92" s="134">
        <f t="shared" si="34"/>
        <v>0.10494764000000001</v>
      </c>
      <c r="W92" s="2"/>
      <c r="X92" s="2"/>
      <c r="Y92" s="2"/>
      <c r="Z92" s="2"/>
      <c r="AA92" s="2"/>
      <c r="AB92" s="2"/>
      <c r="AC92" s="17"/>
    </row>
    <row r="93" spans="1:29" s="12" customFormat="1" ht="30">
      <c r="A93" s="131" t="s">
        <v>60</v>
      </c>
      <c r="B93" s="33" t="s">
        <v>280</v>
      </c>
      <c r="C93" s="70">
        <f>+C95</f>
        <v>100000</v>
      </c>
      <c r="D93" s="70">
        <f>+D94+D95</f>
        <v>3250000</v>
      </c>
      <c r="E93" s="70">
        <f>+E95</f>
        <v>17628.94</v>
      </c>
      <c r="F93" s="70">
        <f aca="true" t="shared" si="46" ref="F93:P93">+F95</f>
        <v>11017.54</v>
      </c>
      <c r="G93" s="70">
        <f t="shared" si="46"/>
        <v>17334.97</v>
      </c>
      <c r="H93" s="70">
        <f>+H94+H95</f>
        <v>3280484.9000000004</v>
      </c>
      <c r="I93" s="70">
        <f t="shared" si="46"/>
        <v>9987.24</v>
      </c>
      <c r="J93" s="70">
        <f t="shared" si="46"/>
        <v>0</v>
      </c>
      <c r="K93" s="70">
        <f t="shared" si="46"/>
        <v>0</v>
      </c>
      <c r="L93" s="70">
        <f t="shared" si="46"/>
        <v>0</v>
      </c>
      <c r="M93" s="70">
        <f t="shared" si="46"/>
        <v>0</v>
      </c>
      <c r="N93" s="70">
        <f t="shared" si="46"/>
        <v>0</v>
      </c>
      <c r="O93" s="70">
        <f t="shared" si="46"/>
        <v>0</v>
      </c>
      <c r="P93" s="70">
        <f t="shared" si="46"/>
        <v>0</v>
      </c>
      <c r="Q93" s="74">
        <f t="shared" si="45"/>
        <v>3336453.590000001</v>
      </c>
      <c r="R93" s="75">
        <f t="shared" si="38"/>
        <v>33.36453590000001</v>
      </c>
      <c r="S93" s="74">
        <f t="shared" si="43"/>
        <v>-3236453.590000001</v>
      </c>
      <c r="T93" s="75">
        <f t="shared" si="44"/>
        <v>-32.36453590000001</v>
      </c>
      <c r="U93" s="74">
        <f>+U94+U95</f>
        <v>43546.40999999941</v>
      </c>
      <c r="V93" s="72">
        <f t="shared" si="34"/>
        <v>0.4354640999999941</v>
      </c>
      <c r="W93" s="1"/>
      <c r="X93" s="1"/>
      <c r="Y93" s="1"/>
      <c r="Z93" s="1"/>
      <c r="AA93" s="1"/>
      <c r="AB93" s="1"/>
      <c r="AC93" s="1"/>
    </row>
    <row r="94" spans="1:29" s="12" customFormat="1" ht="15">
      <c r="A94" s="144" t="s">
        <v>332</v>
      </c>
      <c r="B94" s="22" t="s">
        <v>333</v>
      </c>
      <c r="C94" s="36">
        <v>30000</v>
      </c>
      <c r="D94" s="41"/>
      <c r="E94" s="41">
        <v>0</v>
      </c>
      <c r="F94" s="40">
        <v>0</v>
      </c>
      <c r="G94" s="40">
        <v>0</v>
      </c>
      <c r="H94" s="40">
        <v>20461.2</v>
      </c>
      <c r="I94" s="40">
        <v>0</v>
      </c>
      <c r="J94" s="40"/>
      <c r="K94" s="40"/>
      <c r="L94" s="40"/>
      <c r="M94" s="40"/>
      <c r="N94" s="40"/>
      <c r="O94" s="40"/>
      <c r="P94" s="40"/>
      <c r="Q94" s="133">
        <f t="shared" si="45"/>
        <v>20461.2</v>
      </c>
      <c r="R94" s="134">
        <v>0</v>
      </c>
      <c r="S94" s="133">
        <f t="shared" si="43"/>
        <v>9538.8</v>
      </c>
      <c r="T94" s="134">
        <f t="shared" si="44"/>
        <v>0.31795999999999996</v>
      </c>
      <c r="U94" s="133">
        <f>+C94-Q94</f>
        <v>9538.8</v>
      </c>
      <c r="V94" s="134">
        <f>+U94/C94</f>
        <v>0.31795999999999996</v>
      </c>
      <c r="W94" s="1"/>
      <c r="X94" s="1"/>
      <c r="Y94" s="1"/>
      <c r="Z94" s="1"/>
      <c r="AA94" s="1"/>
      <c r="AB94" s="1"/>
      <c r="AC94" s="1"/>
    </row>
    <row r="95" spans="1:29" s="3" customFormat="1" ht="15">
      <c r="A95" s="144" t="s">
        <v>180</v>
      </c>
      <c r="B95" s="22" t="s">
        <v>188</v>
      </c>
      <c r="C95" s="36">
        <v>100000</v>
      </c>
      <c r="D95" s="41">
        <v>3250000</v>
      </c>
      <c r="E95" s="41">
        <v>17628.94</v>
      </c>
      <c r="F95" s="40">
        <v>11017.54</v>
      </c>
      <c r="G95" s="40">
        <v>17334.97</v>
      </c>
      <c r="H95" s="40">
        <v>3260023.7</v>
      </c>
      <c r="I95" s="40">
        <v>9987.24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133">
        <f t="shared" si="45"/>
        <v>3315992.3900000006</v>
      </c>
      <c r="R95" s="134">
        <v>0</v>
      </c>
      <c r="S95" s="133">
        <f t="shared" si="43"/>
        <v>-3215992.3900000006</v>
      </c>
      <c r="T95" s="134">
        <f t="shared" si="44"/>
        <v>-32.1599239</v>
      </c>
      <c r="U95" s="133">
        <f>+C95-Q95+D95</f>
        <v>34007.609999999404</v>
      </c>
      <c r="V95" s="134">
        <f>+U95/C95</f>
        <v>0.34007609999999405</v>
      </c>
      <c r="W95" s="2"/>
      <c r="X95" s="2"/>
      <c r="Y95" s="2"/>
      <c r="Z95" s="2"/>
      <c r="AA95" s="2"/>
      <c r="AB95" s="2"/>
      <c r="AC95" s="17"/>
    </row>
    <row r="96" spans="1:29" s="3" customFormat="1" ht="15" hidden="1">
      <c r="A96" s="45" t="s">
        <v>61</v>
      </c>
      <c r="B96" s="6" t="s">
        <v>62</v>
      </c>
      <c r="C96" s="56">
        <v>0</v>
      </c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54"/>
      <c r="R96" s="54"/>
      <c r="S96" s="57">
        <v>0</v>
      </c>
      <c r="T96" s="57"/>
      <c r="U96" s="54"/>
      <c r="V96" s="54"/>
      <c r="AC96" s="2"/>
    </row>
    <row r="97" spans="1:22" s="13" customFormat="1" ht="30">
      <c r="A97" s="37" t="s">
        <v>63</v>
      </c>
      <c r="B97" s="150" t="s">
        <v>356</v>
      </c>
      <c r="C97" s="70">
        <f>+C98+C99+C100+C101+C103+C104+C106+C107+C108</f>
        <v>55658389.54</v>
      </c>
      <c r="D97" s="70">
        <f>+D98+D99+D100+D101+D103+D104+D106+D107+D108</f>
        <v>0</v>
      </c>
      <c r="E97" s="70">
        <f>+E98+E99+E100+E101+E103+E104+E108+E107</f>
        <v>5642866.6</v>
      </c>
      <c r="F97" s="70">
        <f>+F98+F99+F100+F101+F103+F104+F106+F107+F108</f>
        <v>8453101.8</v>
      </c>
      <c r="G97" s="70">
        <f aca="true" t="shared" si="47" ref="G97:P97">+G98+G99+G100+G101+G103+G104+G108+G107</f>
        <v>5148275</v>
      </c>
      <c r="H97" s="70">
        <f>+H98+H99+H100+H101+H103+H104+H106+H107+H108</f>
        <v>554452.45</v>
      </c>
      <c r="I97" s="70">
        <f t="shared" si="47"/>
        <v>5439222.86</v>
      </c>
      <c r="J97" s="70">
        <f t="shared" si="47"/>
        <v>0</v>
      </c>
      <c r="K97" s="70">
        <f t="shared" si="47"/>
        <v>0</v>
      </c>
      <c r="L97" s="70">
        <f t="shared" si="47"/>
        <v>0</v>
      </c>
      <c r="M97" s="70">
        <f t="shared" si="47"/>
        <v>0</v>
      </c>
      <c r="N97" s="70">
        <f t="shared" si="47"/>
        <v>0</v>
      </c>
      <c r="O97" s="70">
        <f t="shared" si="47"/>
        <v>0</v>
      </c>
      <c r="P97" s="70">
        <f t="shared" si="47"/>
        <v>0</v>
      </c>
      <c r="Q97" s="74">
        <f>SUM(E97:P97)</f>
        <v>25237918.709999997</v>
      </c>
      <c r="R97" s="75">
        <f>+Q97/C97</f>
        <v>0.4534432080874756</v>
      </c>
      <c r="S97" s="74">
        <f>+C97-Q97</f>
        <v>30420470.830000002</v>
      </c>
      <c r="T97" s="75">
        <f>+S97/C97</f>
        <v>0.5465567919125244</v>
      </c>
      <c r="U97" s="74">
        <f>+C97+D97-Q97</f>
        <v>30420470.830000002</v>
      </c>
      <c r="V97" s="72">
        <f>+U97/C97</f>
        <v>0.5465567919125244</v>
      </c>
    </row>
    <row r="98" spans="1:29" s="3" customFormat="1" ht="15">
      <c r="A98" s="146" t="s">
        <v>104</v>
      </c>
      <c r="B98" s="23" t="s">
        <v>64</v>
      </c>
      <c r="C98" s="40">
        <f>36000000-300000</f>
        <v>35700000</v>
      </c>
      <c r="D98" s="41"/>
      <c r="E98" s="41">
        <v>3328714.04</v>
      </c>
      <c r="F98" s="40">
        <v>5972380.67</v>
      </c>
      <c r="G98" s="40">
        <v>3640867.6</v>
      </c>
      <c r="H98" s="40">
        <v>219604.6</v>
      </c>
      <c r="I98" s="40">
        <v>3940749.6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133">
        <f aca="true" t="shared" si="48" ref="Q98:Q118">SUM(E98:P98)</f>
        <v>17102316.51</v>
      </c>
      <c r="R98" s="134">
        <f>+Q98/(D98+C98)</f>
        <v>0.47905648487394964</v>
      </c>
      <c r="S98" s="133">
        <f aca="true" t="shared" si="49" ref="S98:S118">+C98-Q98</f>
        <v>18597683.49</v>
      </c>
      <c r="T98" s="134">
        <f aca="true" t="shared" si="50" ref="T98:T118">+S98/C98</f>
        <v>0.5209435151260504</v>
      </c>
      <c r="U98" s="133">
        <f>+C98+D98-Q98</f>
        <v>18597683.49</v>
      </c>
      <c r="V98" s="134">
        <f>+U98/C98</f>
        <v>0.5209435151260504</v>
      </c>
      <c r="AC98" s="2"/>
    </row>
    <row r="99" spans="1:29" s="3" customFormat="1" ht="15">
      <c r="A99" s="146" t="s">
        <v>105</v>
      </c>
      <c r="B99" s="23" t="s">
        <v>65</v>
      </c>
      <c r="C99" s="40">
        <f>18600000-1400000-290010.46</f>
        <v>16909989.54</v>
      </c>
      <c r="D99" s="41"/>
      <c r="E99" s="41">
        <v>1722617.55</v>
      </c>
      <c r="F99" s="40">
        <v>2319700.84</v>
      </c>
      <c r="G99" s="40">
        <v>1443484.5</v>
      </c>
      <c r="H99" s="40">
        <v>273255.75</v>
      </c>
      <c r="I99" s="40">
        <v>1439486.11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133">
        <f t="shared" si="48"/>
        <v>7198544.75</v>
      </c>
      <c r="R99" s="134">
        <f>+Q99/(D99+C99)</f>
        <v>0.42569776480181076</v>
      </c>
      <c r="S99" s="133">
        <f t="shared" si="49"/>
        <v>9711444.79</v>
      </c>
      <c r="T99" s="134">
        <f t="shared" si="50"/>
        <v>0.5743022351981892</v>
      </c>
      <c r="U99" s="133">
        <f>+C99+D99-Q99</f>
        <v>9711444.79</v>
      </c>
      <c r="V99" s="134">
        <f>+U99/C99</f>
        <v>0.5743022351981892</v>
      </c>
      <c r="AC99" s="2"/>
    </row>
    <row r="100" spans="1:29" s="3" customFormat="1" ht="15">
      <c r="A100" s="146" t="s">
        <v>106</v>
      </c>
      <c r="B100" s="23" t="s">
        <v>66</v>
      </c>
      <c r="C100" s="40">
        <v>200400</v>
      </c>
      <c r="D100" s="41"/>
      <c r="E100" s="41">
        <v>49989.5</v>
      </c>
      <c r="F100" s="40">
        <v>2500</v>
      </c>
      <c r="G100" s="40">
        <v>1500</v>
      </c>
      <c r="H100" s="40">
        <v>3200</v>
      </c>
      <c r="I100" s="40">
        <v>0</v>
      </c>
      <c r="J100" s="40">
        <v>0</v>
      </c>
      <c r="K100" s="40">
        <v>0</v>
      </c>
      <c r="L100" s="40">
        <v>0</v>
      </c>
      <c r="M100" s="40">
        <v>0</v>
      </c>
      <c r="N100" s="40">
        <v>0</v>
      </c>
      <c r="O100" s="40">
        <v>0</v>
      </c>
      <c r="P100" s="40">
        <v>0</v>
      </c>
      <c r="Q100" s="133">
        <f t="shared" si="48"/>
        <v>57189.5</v>
      </c>
      <c r="R100" s="134">
        <v>0</v>
      </c>
      <c r="S100" s="133">
        <f t="shared" si="49"/>
        <v>143210.5</v>
      </c>
      <c r="T100" s="134">
        <f t="shared" si="50"/>
        <v>0.7146232534930139</v>
      </c>
      <c r="U100" s="133">
        <f aca="true" t="shared" si="51" ref="U100:U108">+C100-Q100</f>
        <v>143210.5</v>
      </c>
      <c r="V100" s="134">
        <v>0</v>
      </c>
      <c r="AC100" s="2"/>
    </row>
    <row r="101" spans="1:30" s="7" customFormat="1" ht="15">
      <c r="A101" s="146" t="s">
        <v>67</v>
      </c>
      <c r="B101" s="23" t="s">
        <v>68</v>
      </c>
      <c r="C101" s="40">
        <v>108000</v>
      </c>
      <c r="D101" s="41"/>
      <c r="E101" s="41">
        <v>0</v>
      </c>
      <c r="F101" s="40">
        <v>1227.2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40">
        <v>0</v>
      </c>
      <c r="M101" s="40">
        <v>0</v>
      </c>
      <c r="N101" s="40">
        <v>0</v>
      </c>
      <c r="O101" s="40">
        <v>0</v>
      </c>
      <c r="P101" s="40">
        <v>0</v>
      </c>
      <c r="Q101" s="133">
        <f t="shared" si="48"/>
        <v>1227.2</v>
      </c>
      <c r="R101" s="134">
        <f aca="true" t="shared" si="52" ref="R101:R106">+Q101/C101</f>
        <v>0.011362962962962964</v>
      </c>
      <c r="S101" s="133">
        <f t="shared" si="49"/>
        <v>106772.8</v>
      </c>
      <c r="T101" s="134">
        <f t="shared" si="50"/>
        <v>0.9886370370370371</v>
      </c>
      <c r="U101" s="133">
        <f t="shared" si="51"/>
        <v>106772.8</v>
      </c>
      <c r="V101" s="134">
        <f aca="true" t="shared" si="53" ref="V101:V106">+U101/C101</f>
        <v>0.9886370370370371</v>
      </c>
      <c r="W101" s="3"/>
      <c r="X101" s="3"/>
      <c r="Y101" s="3"/>
      <c r="Z101" s="3"/>
      <c r="AA101" s="3"/>
      <c r="AB101" s="3"/>
      <c r="AC101" s="2"/>
      <c r="AD101" s="2"/>
    </row>
    <row r="102" spans="1:30" s="7" customFormat="1" ht="15" hidden="1">
      <c r="A102" s="146" t="s">
        <v>140</v>
      </c>
      <c r="B102" s="23" t="s">
        <v>68</v>
      </c>
      <c r="C102" s="40">
        <f>+D102*12</f>
        <v>0</v>
      </c>
      <c r="D102" s="41"/>
      <c r="E102" s="41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133">
        <f t="shared" si="48"/>
        <v>0</v>
      </c>
      <c r="R102" s="134" t="e">
        <f t="shared" si="52"/>
        <v>#DIV/0!</v>
      </c>
      <c r="S102" s="133">
        <f t="shared" si="49"/>
        <v>0</v>
      </c>
      <c r="T102" s="134" t="e">
        <f t="shared" si="50"/>
        <v>#DIV/0!</v>
      </c>
      <c r="U102" s="133">
        <f t="shared" si="51"/>
        <v>0</v>
      </c>
      <c r="V102" s="134" t="e">
        <f t="shared" si="53"/>
        <v>#DIV/0!</v>
      </c>
      <c r="W102" s="3"/>
      <c r="X102" s="3"/>
      <c r="Y102" s="3"/>
      <c r="Z102" s="3"/>
      <c r="AA102" s="3"/>
      <c r="AB102" s="3"/>
      <c r="AC102" s="2"/>
      <c r="AD102" s="2"/>
    </row>
    <row r="103" spans="1:30" s="7" customFormat="1" ht="15">
      <c r="A103" s="146" t="s">
        <v>107</v>
      </c>
      <c r="B103" s="23" t="s">
        <v>69</v>
      </c>
      <c r="C103" s="40">
        <v>1152000</v>
      </c>
      <c r="D103" s="41"/>
      <c r="E103" s="41">
        <v>57313.51</v>
      </c>
      <c r="F103" s="40">
        <v>57020.17</v>
      </c>
      <c r="G103" s="40">
        <v>55816.9</v>
      </c>
      <c r="H103" s="40">
        <v>54651.15</v>
      </c>
      <c r="I103" s="40">
        <v>57512.4</v>
      </c>
      <c r="J103" s="40">
        <v>0</v>
      </c>
      <c r="K103" s="40">
        <v>0</v>
      </c>
      <c r="L103" s="40">
        <v>0</v>
      </c>
      <c r="M103" s="40">
        <v>0</v>
      </c>
      <c r="N103" s="40">
        <v>0</v>
      </c>
      <c r="O103" s="40">
        <v>0</v>
      </c>
      <c r="P103" s="40">
        <v>0</v>
      </c>
      <c r="Q103" s="133">
        <f t="shared" si="48"/>
        <v>282314.13</v>
      </c>
      <c r="R103" s="134">
        <f t="shared" si="52"/>
        <v>0.24506434895833334</v>
      </c>
      <c r="S103" s="133">
        <f t="shared" si="49"/>
        <v>869685.87</v>
      </c>
      <c r="T103" s="134">
        <f t="shared" si="50"/>
        <v>0.7549356510416667</v>
      </c>
      <c r="U103" s="133">
        <f t="shared" si="51"/>
        <v>869685.87</v>
      </c>
      <c r="V103" s="134">
        <f t="shared" si="53"/>
        <v>0.7549356510416667</v>
      </c>
      <c r="W103" s="3"/>
      <c r="X103" s="3"/>
      <c r="Y103" s="3"/>
      <c r="Z103" s="3"/>
      <c r="AA103" s="3"/>
      <c r="AB103" s="3"/>
      <c r="AC103" s="2"/>
      <c r="AD103" s="2"/>
    </row>
    <row r="104" spans="1:30" s="7" customFormat="1" ht="15">
      <c r="A104" s="34" t="s">
        <v>141</v>
      </c>
      <c r="B104" s="23" t="s">
        <v>142</v>
      </c>
      <c r="C104" s="40">
        <v>600000</v>
      </c>
      <c r="D104" s="41"/>
      <c r="E104" s="41">
        <v>483512</v>
      </c>
      <c r="F104" s="40">
        <v>0</v>
      </c>
      <c r="G104" s="40">
        <v>0</v>
      </c>
      <c r="H104" s="40">
        <v>1711</v>
      </c>
      <c r="I104" s="40">
        <v>590</v>
      </c>
      <c r="J104" s="40">
        <v>0</v>
      </c>
      <c r="K104" s="40">
        <v>0</v>
      </c>
      <c r="L104" s="40">
        <v>0</v>
      </c>
      <c r="M104" s="40">
        <v>0</v>
      </c>
      <c r="N104" s="40">
        <v>0</v>
      </c>
      <c r="O104" s="40">
        <v>0</v>
      </c>
      <c r="P104" s="40">
        <v>0</v>
      </c>
      <c r="Q104" s="133">
        <f t="shared" si="48"/>
        <v>485813</v>
      </c>
      <c r="R104" s="134">
        <f t="shared" si="52"/>
        <v>0.8096883333333333</v>
      </c>
      <c r="S104" s="133">
        <f t="shared" si="49"/>
        <v>114187</v>
      </c>
      <c r="T104" s="134">
        <f t="shared" si="50"/>
        <v>0.19031166666666666</v>
      </c>
      <c r="U104" s="133">
        <f t="shared" si="51"/>
        <v>114187</v>
      </c>
      <c r="V104" s="134">
        <f t="shared" si="53"/>
        <v>0.19031166666666666</v>
      </c>
      <c r="W104" s="3"/>
      <c r="X104" s="3"/>
      <c r="Y104" s="3"/>
      <c r="Z104" s="3"/>
      <c r="AA104" s="3"/>
      <c r="AB104" s="3"/>
      <c r="AC104" s="2"/>
      <c r="AD104" s="2"/>
    </row>
    <row r="105" spans="1:30" s="7" customFormat="1" ht="30" hidden="1">
      <c r="A105" s="128" t="s">
        <v>108</v>
      </c>
      <c r="B105" s="30" t="s">
        <v>189</v>
      </c>
      <c r="C105" s="40">
        <f>+D105*12</f>
        <v>0</v>
      </c>
      <c r="D105" s="41"/>
      <c r="E105" s="41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133">
        <f t="shared" si="48"/>
        <v>0</v>
      </c>
      <c r="R105" s="134" t="e">
        <f t="shared" si="52"/>
        <v>#DIV/0!</v>
      </c>
      <c r="S105" s="133">
        <f t="shared" si="49"/>
        <v>0</v>
      </c>
      <c r="T105" s="134" t="e">
        <f t="shared" si="50"/>
        <v>#DIV/0!</v>
      </c>
      <c r="U105" s="133">
        <f t="shared" si="51"/>
        <v>0</v>
      </c>
      <c r="V105" s="134" t="e">
        <f t="shared" si="53"/>
        <v>#DIV/0!</v>
      </c>
      <c r="W105" s="3"/>
      <c r="X105" s="3"/>
      <c r="Y105" s="3"/>
      <c r="Z105" s="3"/>
      <c r="AA105" s="3"/>
      <c r="AB105" s="3"/>
      <c r="AC105" s="2"/>
      <c r="AD105" s="2"/>
    </row>
    <row r="106" spans="1:30" s="7" customFormat="1" ht="30">
      <c r="A106" s="128" t="s">
        <v>300</v>
      </c>
      <c r="B106" s="30" t="s">
        <v>301</v>
      </c>
      <c r="C106" s="40">
        <v>10000</v>
      </c>
      <c r="D106" s="41"/>
      <c r="E106" s="41">
        <v>0</v>
      </c>
      <c r="F106" s="40">
        <v>119</v>
      </c>
      <c r="G106" s="40">
        <v>0</v>
      </c>
      <c r="H106" s="40">
        <v>129.95</v>
      </c>
      <c r="I106" s="40">
        <v>0</v>
      </c>
      <c r="J106" s="40">
        <v>0</v>
      </c>
      <c r="K106" s="40">
        <v>0</v>
      </c>
      <c r="L106" s="40">
        <v>0</v>
      </c>
      <c r="M106" s="40">
        <v>0</v>
      </c>
      <c r="N106" s="40">
        <v>0</v>
      </c>
      <c r="O106" s="40">
        <v>0</v>
      </c>
      <c r="P106" s="40">
        <v>0</v>
      </c>
      <c r="Q106" s="133">
        <f>SUM(E106:P106)</f>
        <v>248.95</v>
      </c>
      <c r="R106" s="134">
        <f t="shared" si="52"/>
        <v>0.024895</v>
      </c>
      <c r="S106" s="133">
        <f>+C106-Q106</f>
        <v>9751.05</v>
      </c>
      <c r="T106" s="134">
        <f>+S106/C106</f>
        <v>0.9751049999999999</v>
      </c>
      <c r="U106" s="133">
        <f>+C106-Q106</f>
        <v>9751.05</v>
      </c>
      <c r="V106" s="134">
        <f t="shared" si="53"/>
        <v>0.9751049999999999</v>
      </c>
      <c r="W106" s="3"/>
      <c r="X106" s="3"/>
      <c r="Y106" s="3"/>
      <c r="Z106" s="3"/>
      <c r="AA106" s="3"/>
      <c r="AB106" s="3"/>
      <c r="AC106" s="2"/>
      <c r="AD106" s="2"/>
    </row>
    <row r="107" spans="1:30" s="7" customFormat="1" ht="30">
      <c r="A107" s="128" t="s">
        <v>108</v>
      </c>
      <c r="B107" s="32" t="s">
        <v>189</v>
      </c>
      <c r="C107" s="40">
        <v>198000</v>
      </c>
      <c r="D107" s="41"/>
      <c r="E107" s="41">
        <v>720</v>
      </c>
      <c r="F107" s="40">
        <v>99053.92</v>
      </c>
      <c r="G107" s="40">
        <v>1650</v>
      </c>
      <c r="H107" s="40">
        <v>1900</v>
      </c>
      <c r="I107" s="40">
        <v>884.75</v>
      </c>
      <c r="J107" s="40">
        <v>0</v>
      </c>
      <c r="K107" s="40">
        <v>0</v>
      </c>
      <c r="L107" s="40">
        <v>0</v>
      </c>
      <c r="M107" s="40">
        <v>0</v>
      </c>
      <c r="N107" s="40">
        <v>0</v>
      </c>
      <c r="O107" s="40">
        <v>0</v>
      </c>
      <c r="P107" s="40">
        <v>0</v>
      </c>
      <c r="Q107" s="133">
        <f>SUM(E107:P107)</f>
        <v>104208.67</v>
      </c>
      <c r="R107" s="134">
        <v>0</v>
      </c>
      <c r="S107" s="133">
        <f>+C107-Q107</f>
        <v>93791.33</v>
      </c>
      <c r="T107" s="134">
        <f>+S107/C107</f>
        <v>0.47369358585858584</v>
      </c>
      <c r="U107" s="133">
        <f>+C107-Q107</f>
        <v>93791.33</v>
      </c>
      <c r="V107" s="134">
        <v>0</v>
      </c>
      <c r="W107" s="3"/>
      <c r="X107" s="3"/>
      <c r="Y107" s="3"/>
      <c r="Z107" s="3"/>
      <c r="AA107" s="3"/>
      <c r="AB107" s="3"/>
      <c r="AC107" s="2"/>
      <c r="AD107" s="2"/>
    </row>
    <row r="108" spans="1:30" s="7" customFormat="1" ht="15">
      <c r="A108" s="128" t="s">
        <v>136</v>
      </c>
      <c r="B108" s="30" t="s">
        <v>149</v>
      </c>
      <c r="C108" s="40">
        <v>780000</v>
      </c>
      <c r="D108" s="41"/>
      <c r="E108" s="41">
        <v>0</v>
      </c>
      <c r="F108" s="40">
        <v>1100</v>
      </c>
      <c r="G108" s="40">
        <v>4956</v>
      </c>
      <c r="H108" s="40">
        <v>0</v>
      </c>
      <c r="I108" s="40">
        <v>0</v>
      </c>
      <c r="J108" s="40">
        <v>0</v>
      </c>
      <c r="K108" s="40">
        <v>0</v>
      </c>
      <c r="L108" s="40">
        <v>0</v>
      </c>
      <c r="M108" s="40">
        <v>0</v>
      </c>
      <c r="N108" s="40">
        <v>0</v>
      </c>
      <c r="O108" s="40">
        <v>0</v>
      </c>
      <c r="P108" s="40">
        <v>0</v>
      </c>
      <c r="Q108" s="133">
        <f t="shared" si="48"/>
        <v>6056</v>
      </c>
      <c r="R108" s="134">
        <v>0</v>
      </c>
      <c r="S108" s="133">
        <f t="shared" si="49"/>
        <v>773944</v>
      </c>
      <c r="T108" s="134">
        <f t="shared" si="50"/>
        <v>0.9922358974358975</v>
      </c>
      <c r="U108" s="133">
        <f t="shared" si="51"/>
        <v>773944</v>
      </c>
      <c r="V108" s="134">
        <v>0</v>
      </c>
      <c r="W108" s="3"/>
      <c r="X108" s="3"/>
      <c r="Y108" s="3"/>
      <c r="Z108" s="3"/>
      <c r="AA108" s="3"/>
      <c r="AB108" s="3"/>
      <c r="AC108" s="2"/>
      <c r="AD108" s="2"/>
    </row>
    <row r="109" spans="1:30" s="7" customFormat="1" ht="15">
      <c r="A109" s="20" t="s">
        <v>70</v>
      </c>
      <c r="B109" s="8" t="s">
        <v>357</v>
      </c>
      <c r="C109" s="70">
        <f>+C110+C111+C112+C113+C114+C115+C116+C117+C118</f>
        <v>9587983.32</v>
      </c>
      <c r="D109" s="70">
        <f>+D110+D111+D112+D113+D114+D115+D116+D117+D118</f>
        <v>0</v>
      </c>
      <c r="E109" s="70">
        <f>+E110+E111+E113+E114+E115+E116+E117+E118</f>
        <v>855304.93</v>
      </c>
      <c r="F109" s="70">
        <f>+F110+F111+F113+F114+F115+F116+F117+F118</f>
        <v>4512</v>
      </c>
      <c r="G109" s="70">
        <f>+G110+G111+G112+G113+G114+G115+G116+G117+G118</f>
        <v>1250812.74</v>
      </c>
      <c r="H109" s="70">
        <f>+H110+H111+H112+H113+H114+H115+H116+H117+H118</f>
        <v>303666.66</v>
      </c>
      <c r="I109" s="70">
        <f aca="true" t="shared" si="54" ref="I109:P109">+I110+I111+I113+I114+I115+I116+I117+I118</f>
        <v>551665.06</v>
      </c>
      <c r="J109" s="70">
        <f t="shared" si="54"/>
        <v>0</v>
      </c>
      <c r="K109" s="70">
        <f t="shared" si="54"/>
        <v>0</v>
      </c>
      <c r="L109" s="70">
        <f t="shared" si="54"/>
        <v>0</v>
      </c>
      <c r="M109" s="70">
        <f t="shared" si="54"/>
        <v>0</v>
      </c>
      <c r="N109" s="70">
        <f t="shared" si="54"/>
        <v>0</v>
      </c>
      <c r="O109" s="70">
        <f t="shared" si="54"/>
        <v>0</v>
      </c>
      <c r="P109" s="70">
        <f t="shared" si="54"/>
        <v>0</v>
      </c>
      <c r="Q109" s="74">
        <f>SUM(E109:P109)</f>
        <v>2965961.39</v>
      </c>
      <c r="R109" s="75">
        <f>+Q109/(C109+D109)</f>
        <v>0.3093415258465427</v>
      </c>
      <c r="S109" s="74">
        <f t="shared" si="49"/>
        <v>6622021.93</v>
      </c>
      <c r="T109" s="75">
        <f t="shared" si="50"/>
        <v>0.6906584741534573</v>
      </c>
      <c r="U109" s="74">
        <f>+C109+D109-Q109</f>
        <v>6622021.93</v>
      </c>
      <c r="V109" s="75">
        <f aca="true" t="shared" si="55" ref="V109:V118">+U109/C109</f>
        <v>0.6906584741534573</v>
      </c>
      <c r="W109" s="3"/>
      <c r="X109" s="3"/>
      <c r="Y109" s="3"/>
      <c r="Z109" s="3"/>
      <c r="AA109" s="3"/>
      <c r="AB109" s="3"/>
      <c r="AC109" s="2"/>
      <c r="AD109" s="2"/>
    </row>
    <row r="110" spans="1:30" s="7" customFormat="1" ht="15">
      <c r="A110" s="144" t="s">
        <v>109</v>
      </c>
      <c r="B110" s="23" t="s">
        <v>191</v>
      </c>
      <c r="C110" s="40">
        <v>900000</v>
      </c>
      <c r="D110" s="41"/>
      <c r="E110" s="41">
        <v>645058.93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L110" s="40">
        <v>0</v>
      </c>
      <c r="M110" s="40">
        <v>0</v>
      </c>
      <c r="N110" s="40">
        <v>0</v>
      </c>
      <c r="O110" s="40">
        <v>0</v>
      </c>
      <c r="P110" s="40">
        <v>0</v>
      </c>
      <c r="Q110" s="133">
        <f t="shared" si="48"/>
        <v>645058.93</v>
      </c>
      <c r="R110" s="134">
        <f>+Q110/C110</f>
        <v>0.7167321444444446</v>
      </c>
      <c r="S110" s="133">
        <f t="shared" si="49"/>
        <v>254941.06999999995</v>
      </c>
      <c r="T110" s="134">
        <f t="shared" si="50"/>
        <v>0.2832678555555555</v>
      </c>
      <c r="U110" s="133">
        <f aca="true" t="shared" si="56" ref="U110:U118">+C110-Q110</f>
        <v>254941.06999999995</v>
      </c>
      <c r="V110" s="134">
        <f t="shared" si="55"/>
        <v>0.2832678555555555</v>
      </c>
      <c r="W110" s="3"/>
      <c r="X110" s="3"/>
      <c r="Y110" s="3"/>
      <c r="Z110" s="3"/>
      <c r="AA110" s="3"/>
      <c r="AB110" s="3"/>
      <c r="AC110" s="2"/>
      <c r="AD110" s="2"/>
    </row>
    <row r="111" spans="1:30" s="7" customFormat="1" ht="33.75" customHeight="1">
      <c r="A111" s="143" t="s">
        <v>110</v>
      </c>
      <c r="B111" s="30" t="s">
        <v>190</v>
      </c>
      <c r="C111" s="40">
        <v>2400000</v>
      </c>
      <c r="D111" s="41"/>
      <c r="E111" s="41">
        <v>6742</v>
      </c>
      <c r="F111" s="40">
        <v>2034</v>
      </c>
      <c r="G111" s="40">
        <v>991535.18</v>
      </c>
      <c r="H111" s="40">
        <v>18832</v>
      </c>
      <c r="I111" s="40">
        <v>406805</v>
      </c>
      <c r="J111" s="40">
        <v>0</v>
      </c>
      <c r="K111" s="40">
        <v>0</v>
      </c>
      <c r="L111" s="40">
        <v>0</v>
      </c>
      <c r="M111" s="40">
        <v>0</v>
      </c>
      <c r="N111" s="40">
        <v>0</v>
      </c>
      <c r="O111" s="40">
        <v>0</v>
      </c>
      <c r="P111" s="40">
        <v>0</v>
      </c>
      <c r="Q111" s="133">
        <f t="shared" si="48"/>
        <v>1425948.1800000002</v>
      </c>
      <c r="R111" s="134">
        <f>+Q111/C111</f>
        <v>0.594145075</v>
      </c>
      <c r="S111" s="133">
        <f>+C111-Q111</f>
        <v>974051.8199999998</v>
      </c>
      <c r="T111" s="134">
        <f>+S111/C111</f>
        <v>0.4058549249999999</v>
      </c>
      <c r="U111" s="133">
        <f>+C111-Q111</f>
        <v>974051.8199999998</v>
      </c>
      <c r="V111" s="134">
        <f>+U111/C111</f>
        <v>0.4058549249999999</v>
      </c>
      <c r="W111" s="3"/>
      <c r="X111" s="3"/>
      <c r="Y111" s="3"/>
      <c r="Z111" s="3"/>
      <c r="AA111" s="3"/>
      <c r="AB111" s="3"/>
      <c r="AC111" s="2"/>
      <c r="AD111" s="2"/>
    </row>
    <row r="112" spans="1:30" s="7" customFormat="1" ht="15">
      <c r="A112" s="143" t="s">
        <v>320</v>
      </c>
      <c r="B112" s="30" t="s">
        <v>321</v>
      </c>
      <c r="C112" s="40">
        <v>50000</v>
      </c>
      <c r="D112" s="41"/>
      <c r="E112" s="41">
        <v>0</v>
      </c>
      <c r="F112" s="40">
        <v>0</v>
      </c>
      <c r="G112" s="40">
        <v>1650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0">
        <v>0</v>
      </c>
      <c r="O112" s="40">
        <v>0</v>
      </c>
      <c r="P112" s="40">
        <v>0</v>
      </c>
      <c r="Q112" s="133">
        <f>SUM(E112:P112)</f>
        <v>1650</v>
      </c>
      <c r="R112" s="134">
        <f>+Q112/C112</f>
        <v>0.033</v>
      </c>
      <c r="S112" s="133">
        <f>+C112-Q112</f>
        <v>48350</v>
      </c>
      <c r="T112" s="134">
        <f>+S112/C112</f>
        <v>0.967</v>
      </c>
      <c r="U112" s="133">
        <f>+C112-Q112</f>
        <v>48350</v>
      </c>
      <c r="V112" s="134">
        <f>+U112/C112</f>
        <v>0.967</v>
      </c>
      <c r="W112" s="3"/>
      <c r="X112" s="3"/>
      <c r="Y112" s="3"/>
      <c r="Z112" s="3"/>
      <c r="AA112" s="3"/>
      <c r="AB112" s="3"/>
      <c r="AC112" s="2"/>
      <c r="AD112" s="2"/>
    </row>
    <row r="113" spans="1:30" s="7" customFormat="1" ht="30">
      <c r="A113" s="143" t="s">
        <v>137</v>
      </c>
      <c r="B113" s="30" t="s">
        <v>186</v>
      </c>
      <c r="C113" s="40">
        <f>840000-50000</f>
        <v>790000</v>
      </c>
      <c r="D113" s="41"/>
      <c r="E113" s="41">
        <v>0</v>
      </c>
      <c r="F113" s="40">
        <v>0</v>
      </c>
      <c r="G113" s="40">
        <v>126457.82</v>
      </c>
      <c r="H113" s="40">
        <v>0</v>
      </c>
      <c r="I113" s="40">
        <v>0</v>
      </c>
      <c r="J113" s="40">
        <v>0</v>
      </c>
      <c r="K113" s="40">
        <v>0</v>
      </c>
      <c r="L113" s="40">
        <v>0</v>
      </c>
      <c r="M113" s="40">
        <v>0</v>
      </c>
      <c r="N113" s="40">
        <v>0</v>
      </c>
      <c r="O113" s="40">
        <v>0</v>
      </c>
      <c r="P113" s="40">
        <v>0</v>
      </c>
      <c r="Q113" s="133">
        <f t="shared" si="48"/>
        <v>126457.82</v>
      </c>
      <c r="R113" s="134">
        <f aca="true" t="shared" si="57" ref="R113:R118">+Q113/C113</f>
        <v>0.16007318987341773</v>
      </c>
      <c r="S113" s="133">
        <f t="shared" si="49"/>
        <v>663542.1799999999</v>
      </c>
      <c r="T113" s="134">
        <f t="shared" si="50"/>
        <v>0.8399268101265822</v>
      </c>
      <c r="U113" s="133">
        <f t="shared" si="56"/>
        <v>663542.1799999999</v>
      </c>
      <c r="V113" s="134">
        <f t="shared" si="55"/>
        <v>0.8399268101265822</v>
      </c>
      <c r="W113" s="3"/>
      <c r="X113" s="3"/>
      <c r="Y113" s="3"/>
      <c r="Z113" s="3"/>
      <c r="AA113" s="3"/>
      <c r="AB113" s="3"/>
      <c r="AC113" s="2"/>
      <c r="AD113" s="2"/>
    </row>
    <row r="114" spans="1:30" s="7" customFormat="1" ht="30">
      <c r="A114" s="143" t="s">
        <v>111</v>
      </c>
      <c r="B114" s="30" t="s">
        <v>262</v>
      </c>
      <c r="C114" s="40">
        <v>1920000</v>
      </c>
      <c r="D114" s="41"/>
      <c r="E114" s="41">
        <v>200000</v>
      </c>
      <c r="F114" s="40">
        <v>0</v>
      </c>
      <c r="G114" s="40">
        <v>0</v>
      </c>
      <c r="H114" s="40">
        <v>0</v>
      </c>
      <c r="I114" s="40">
        <v>56700</v>
      </c>
      <c r="J114" s="40">
        <v>0</v>
      </c>
      <c r="K114" s="40">
        <v>0</v>
      </c>
      <c r="L114" s="40">
        <v>0</v>
      </c>
      <c r="M114" s="40">
        <v>0</v>
      </c>
      <c r="N114" s="40">
        <v>0</v>
      </c>
      <c r="O114" s="40">
        <v>0</v>
      </c>
      <c r="P114" s="40">
        <v>0</v>
      </c>
      <c r="Q114" s="133">
        <f t="shared" si="48"/>
        <v>256700</v>
      </c>
      <c r="R114" s="134">
        <f t="shared" si="57"/>
        <v>0.13369791666666667</v>
      </c>
      <c r="S114" s="133">
        <f t="shared" si="49"/>
        <v>1663300</v>
      </c>
      <c r="T114" s="134">
        <f t="shared" si="50"/>
        <v>0.8663020833333334</v>
      </c>
      <c r="U114" s="133">
        <f t="shared" si="56"/>
        <v>1663300</v>
      </c>
      <c r="V114" s="134">
        <f t="shared" si="55"/>
        <v>0.8663020833333334</v>
      </c>
      <c r="W114" s="3"/>
      <c r="X114" s="3"/>
      <c r="Y114" s="3"/>
      <c r="Z114" s="3"/>
      <c r="AA114" s="3"/>
      <c r="AB114" s="3"/>
      <c r="AC114" s="2"/>
      <c r="AD114" s="2"/>
    </row>
    <row r="115" spans="1:30" s="7" customFormat="1" ht="15">
      <c r="A115" s="143" t="s">
        <v>112</v>
      </c>
      <c r="B115" s="30" t="s">
        <v>263</v>
      </c>
      <c r="C115" s="40">
        <v>312000</v>
      </c>
      <c r="D115" s="41"/>
      <c r="E115" s="41">
        <v>0</v>
      </c>
      <c r="F115" s="40">
        <v>0</v>
      </c>
      <c r="G115" s="40">
        <v>0</v>
      </c>
      <c r="H115" s="40">
        <v>0</v>
      </c>
      <c r="I115" s="40">
        <v>84980.06</v>
      </c>
      <c r="J115" s="40">
        <v>0</v>
      </c>
      <c r="K115" s="40">
        <v>0</v>
      </c>
      <c r="L115" s="40">
        <v>0</v>
      </c>
      <c r="M115" s="40">
        <v>0</v>
      </c>
      <c r="N115" s="40">
        <v>0</v>
      </c>
      <c r="O115" s="40">
        <v>0</v>
      </c>
      <c r="P115" s="40">
        <v>0</v>
      </c>
      <c r="Q115" s="133">
        <f t="shared" si="48"/>
        <v>84980.06</v>
      </c>
      <c r="R115" s="134">
        <f t="shared" si="57"/>
        <v>0.2723719871794872</v>
      </c>
      <c r="S115" s="133">
        <f t="shared" si="49"/>
        <v>227019.94</v>
      </c>
      <c r="T115" s="134">
        <f t="shared" si="50"/>
        <v>0.7276280128205128</v>
      </c>
      <c r="U115" s="133">
        <f t="shared" si="56"/>
        <v>227019.94</v>
      </c>
      <c r="V115" s="134">
        <f t="shared" si="55"/>
        <v>0.7276280128205128</v>
      </c>
      <c r="W115" s="3"/>
      <c r="X115" s="3"/>
      <c r="Y115" s="3"/>
      <c r="Z115" s="3"/>
      <c r="AA115" s="3"/>
      <c r="AB115" s="3"/>
      <c r="AC115" s="2"/>
      <c r="AD115" s="2"/>
    </row>
    <row r="116" spans="1:30" s="7" customFormat="1" ht="15">
      <c r="A116" s="143" t="s">
        <v>113</v>
      </c>
      <c r="B116" s="30" t="s">
        <v>71</v>
      </c>
      <c r="C116" s="40">
        <v>1895983.32</v>
      </c>
      <c r="D116" s="41"/>
      <c r="E116" s="41">
        <v>3504</v>
      </c>
      <c r="F116" s="40">
        <v>2478</v>
      </c>
      <c r="G116" s="40">
        <v>131169.74</v>
      </c>
      <c r="H116" s="40">
        <v>284834.66</v>
      </c>
      <c r="I116" s="40">
        <v>3180</v>
      </c>
      <c r="J116" s="40">
        <v>0</v>
      </c>
      <c r="K116" s="40">
        <v>0</v>
      </c>
      <c r="L116" s="40">
        <v>0</v>
      </c>
      <c r="M116" s="40">
        <v>0</v>
      </c>
      <c r="N116" s="40">
        <v>0</v>
      </c>
      <c r="O116" s="40">
        <v>0</v>
      </c>
      <c r="P116" s="40">
        <v>0</v>
      </c>
      <c r="Q116" s="133">
        <f t="shared" si="48"/>
        <v>425166.39999999997</v>
      </c>
      <c r="R116" s="134">
        <f t="shared" si="57"/>
        <v>0.22424585465234997</v>
      </c>
      <c r="S116" s="133">
        <f t="shared" si="49"/>
        <v>1470816.9200000002</v>
      </c>
      <c r="T116" s="134">
        <f t="shared" si="50"/>
        <v>0.7757541453476501</v>
      </c>
      <c r="U116" s="133">
        <f t="shared" si="56"/>
        <v>1470816.9200000002</v>
      </c>
      <c r="V116" s="134">
        <f t="shared" si="55"/>
        <v>0.7757541453476501</v>
      </c>
      <c r="W116" s="3"/>
      <c r="X116" s="3"/>
      <c r="Y116" s="3"/>
      <c r="Z116" s="3"/>
      <c r="AA116" s="3"/>
      <c r="AB116" s="3"/>
      <c r="AC116" s="2"/>
      <c r="AD116" s="2"/>
    </row>
    <row r="117" spans="1:30" s="7" customFormat="1" ht="15">
      <c r="A117" s="143" t="s">
        <v>138</v>
      </c>
      <c r="B117" s="30" t="s">
        <v>150</v>
      </c>
      <c r="C117" s="40">
        <v>420000</v>
      </c>
      <c r="D117" s="41"/>
      <c r="E117" s="41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0">
        <v>0</v>
      </c>
      <c r="L117" s="40">
        <v>0</v>
      </c>
      <c r="M117" s="40">
        <v>0</v>
      </c>
      <c r="N117" s="40">
        <v>0</v>
      </c>
      <c r="O117" s="40">
        <v>0</v>
      </c>
      <c r="P117" s="40">
        <v>0</v>
      </c>
      <c r="Q117" s="133">
        <f t="shared" si="48"/>
        <v>0</v>
      </c>
      <c r="R117" s="134">
        <f t="shared" si="57"/>
        <v>0</v>
      </c>
      <c r="S117" s="133">
        <f t="shared" si="49"/>
        <v>420000</v>
      </c>
      <c r="T117" s="134">
        <f t="shared" si="50"/>
        <v>1</v>
      </c>
      <c r="U117" s="133">
        <f t="shared" si="56"/>
        <v>420000</v>
      </c>
      <c r="V117" s="134">
        <f t="shared" si="55"/>
        <v>1</v>
      </c>
      <c r="W117" s="3"/>
      <c r="X117" s="3"/>
      <c r="Y117" s="3"/>
      <c r="Z117" s="3"/>
      <c r="AA117" s="3"/>
      <c r="AB117" s="3"/>
      <c r="AC117" s="2"/>
      <c r="AD117" s="2"/>
    </row>
    <row r="118" spans="1:30" s="7" customFormat="1" ht="15">
      <c r="A118" s="144" t="s">
        <v>168</v>
      </c>
      <c r="B118" s="23" t="s">
        <v>169</v>
      </c>
      <c r="C118" s="40">
        <v>900000</v>
      </c>
      <c r="D118" s="41"/>
      <c r="E118" s="41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40">
        <v>0</v>
      </c>
      <c r="O118" s="40">
        <v>0</v>
      </c>
      <c r="P118" s="40">
        <v>0</v>
      </c>
      <c r="Q118" s="133">
        <f t="shared" si="48"/>
        <v>0</v>
      </c>
      <c r="R118" s="134">
        <f t="shared" si="57"/>
        <v>0</v>
      </c>
      <c r="S118" s="133">
        <f t="shared" si="49"/>
        <v>900000</v>
      </c>
      <c r="T118" s="134">
        <f t="shared" si="50"/>
        <v>1</v>
      </c>
      <c r="U118" s="133">
        <f t="shared" si="56"/>
        <v>900000</v>
      </c>
      <c r="V118" s="134">
        <f t="shared" si="55"/>
        <v>1</v>
      </c>
      <c r="W118" s="3"/>
      <c r="X118" s="3"/>
      <c r="Y118" s="3"/>
      <c r="Z118" s="3"/>
      <c r="AA118" s="3"/>
      <c r="AB118" s="3"/>
      <c r="AC118" s="2"/>
      <c r="AD118" s="2"/>
    </row>
    <row r="119" spans="1:30" s="7" customFormat="1" ht="15" hidden="1">
      <c r="A119" s="45" t="s">
        <v>72</v>
      </c>
      <c r="B119" s="6" t="s">
        <v>73</v>
      </c>
      <c r="C119" s="36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54"/>
      <c r="R119" s="54"/>
      <c r="S119" s="58"/>
      <c r="T119" s="58"/>
      <c r="U119" s="54"/>
      <c r="V119" s="54"/>
      <c r="W119" s="3"/>
      <c r="X119" s="3"/>
      <c r="Y119" s="3"/>
      <c r="Z119" s="3"/>
      <c r="AA119" s="3"/>
      <c r="AB119" s="3"/>
      <c r="AC119" s="2"/>
      <c r="AD119" s="2"/>
    </row>
    <row r="120" spans="1:29" s="3" customFormat="1" ht="15" hidden="1">
      <c r="A120" s="45" t="s">
        <v>74</v>
      </c>
      <c r="B120" s="6" t="s">
        <v>75</v>
      </c>
      <c r="C120" s="36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54"/>
      <c r="R120" s="54"/>
      <c r="S120" s="58"/>
      <c r="T120" s="58"/>
      <c r="U120" s="54"/>
      <c r="V120" s="54"/>
      <c r="AC120" s="2"/>
    </row>
    <row r="121" spans="1:29" s="3" customFormat="1" ht="30">
      <c r="A121" s="131" t="s">
        <v>76</v>
      </c>
      <c r="B121" s="38" t="s">
        <v>358</v>
      </c>
      <c r="C121" s="70">
        <f>+C123+C124+C125+C126+C127+C133+C134+C135</f>
        <v>6152000</v>
      </c>
      <c r="D121" s="70">
        <f>+D123+D124+D125+D126+D127+D133+D134+D135</f>
        <v>0</v>
      </c>
      <c r="E121" s="70">
        <f>+E123+E124+E125+E126+E127+E133+E134+E135</f>
        <v>666975</v>
      </c>
      <c r="F121" s="70">
        <f aca="true" t="shared" si="58" ref="F121:P121">+F123+F124+F126+F127+F133+F134+F135</f>
        <v>339225.45999999996</v>
      </c>
      <c r="G121" s="70">
        <f>+G123+G124+G125+G126+G127+G133+G134+G135</f>
        <v>796626.9299999999</v>
      </c>
      <c r="H121" s="70">
        <f>+H123+H124+H125+H126+H127+H133+H134+H135</f>
        <v>173802.93</v>
      </c>
      <c r="I121" s="70">
        <f t="shared" si="58"/>
        <v>1304768.7</v>
      </c>
      <c r="J121" s="70">
        <f t="shared" si="58"/>
        <v>0</v>
      </c>
      <c r="K121" s="70">
        <f t="shared" si="58"/>
        <v>0</v>
      </c>
      <c r="L121" s="70">
        <f t="shared" si="58"/>
        <v>0</v>
      </c>
      <c r="M121" s="70">
        <f t="shared" si="58"/>
        <v>0</v>
      </c>
      <c r="N121" s="70">
        <f t="shared" si="58"/>
        <v>0</v>
      </c>
      <c r="O121" s="70">
        <f t="shared" si="58"/>
        <v>0</v>
      </c>
      <c r="P121" s="70">
        <f t="shared" si="58"/>
        <v>0</v>
      </c>
      <c r="Q121" s="74">
        <f>SUM(E121:P122)</f>
        <v>3281399.0199999996</v>
      </c>
      <c r="R121" s="75">
        <f aca="true" t="shared" si="59" ref="R121:R132">+Q121/C121</f>
        <v>0.533387356957087</v>
      </c>
      <c r="S121" s="74">
        <f aca="true" t="shared" si="60" ref="S121:S132">+C121-Q121</f>
        <v>2870600.9800000004</v>
      </c>
      <c r="T121" s="75">
        <f aca="true" t="shared" si="61" ref="T121:T132">+S121/C121</f>
        <v>0.46661264304291294</v>
      </c>
      <c r="U121" s="74">
        <f>+C121+D121-Q121</f>
        <v>2870600.9800000004</v>
      </c>
      <c r="V121" s="75">
        <f>+U121/C121</f>
        <v>0.46661264304291294</v>
      </c>
      <c r="AC121" s="2"/>
    </row>
    <row r="122" spans="1:29" s="3" customFormat="1" ht="15" hidden="1">
      <c r="A122" s="45" t="s">
        <v>77</v>
      </c>
      <c r="B122" s="6" t="s">
        <v>78</v>
      </c>
      <c r="C122" s="41">
        <f>2140000-300000-4000-600-210000-150000-1400000-30000-45400</f>
        <v>0</v>
      </c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54">
        <f>SUM(D122:E122)</f>
        <v>0</v>
      </c>
      <c r="R122" s="47" t="e">
        <f t="shared" si="59"/>
        <v>#DIV/0!</v>
      </c>
      <c r="S122" s="48">
        <f t="shared" si="60"/>
        <v>0</v>
      </c>
      <c r="T122" s="49" t="e">
        <f t="shared" si="61"/>
        <v>#DIV/0!</v>
      </c>
      <c r="U122" s="54" t="e">
        <f>SUM(D122:T122)</f>
        <v>#DIV/0!</v>
      </c>
      <c r="V122" s="47" t="e">
        <f>+U122/#REF!</f>
        <v>#DIV/0!</v>
      </c>
      <c r="AC122" s="2"/>
    </row>
    <row r="123" spans="1:29" s="3" customFormat="1" ht="30">
      <c r="A123" s="143" t="s">
        <v>114</v>
      </c>
      <c r="B123" s="31" t="s">
        <v>79</v>
      </c>
      <c r="C123" s="40">
        <v>630000</v>
      </c>
      <c r="D123" s="41"/>
      <c r="E123" s="41">
        <v>200000</v>
      </c>
      <c r="F123" s="41">
        <v>0</v>
      </c>
      <c r="G123" s="41">
        <v>0</v>
      </c>
      <c r="H123" s="41">
        <v>0</v>
      </c>
      <c r="I123" s="41">
        <v>159018.7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133">
        <f aca="true" t="shared" si="62" ref="Q123:Q154">SUM(E123:P123)</f>
        <v>359018.7</v>
      </c>
      <c r="R123" s="134">
        <f t="shared" si="59"/>
        <v>0.5698709523809524</v>
      </c>
      <c r="S123" s="133">
        <f t="shared" si="60"/>
        <v>270981.3</v>
      </c>
      <c r="T123" s="134">
        <f t="shared" si="61"/>
        <v>0.4301290476190476</v>
      </c>
      <c r="U123" s="133">
        <f aca="true" t="shared" si="63" ref="U123:U132">+C123-Q123</f>
        <v>270981.3</v>
      </c>
      <c r="V123" s="134">
        <f aca="true" t="shared" si="64" ref="V123:V132">+U123/C123</f>
        <v>0.4301290476190476</v>
      </c>
      <c r="AC123" s="2"/>
    </row>
    <row r="124" spans="1:29" s="3" customFormat="1" ht="30">
      <c r="A124" s="143" t="s">
        <v>153</v>
      </c>
      <c r="B124" s="30" t="s">
        <v>154</v>
      </c>
      <c r="C124" s="40">
        <f>804000+300000</f>
        <v>1104000</v>
      </c>
      <c r="D124" s="41"/>
      <c r="E124" s="41">
        <v>0</v>
      </c>
      <c r="F124" s="41">
        <v>154229.46</v>
      </c>
      <c r="G124" s="41">
        <v>0</v>
      </c>
      <c r="H124" s="41">
        <v>0</v>
      </c>
      <c r="I124" s="41">
        <v>900000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133">
        <f t="shared" si="62"/>
        <v>1054229.46</v>
      </c>
      <c r="R124" s="134">
        <f t="shared" si="59"/>
        <v>0.9549179891304348</v>
      </c>
      <c r="S124" s="133">
        <f t="shared" si="60"/>
        <v>49770.54000000004</v>
      </c>
      <c r="T124" s="134">
        <f t="shared" si="61"/>
        <v>0.04508201086956525</v>
      </c>
      <c r="U124" s="133">
        <f t="shared" si="63"/>
        <v>49770.54000000004</v>
      </c>
      <c r="V124" s="134">
        <f t="shared" si="64"/>
        <v>0.04508201086956525</v>
      </c>
      <c r="AC124" s="2"/>
    </row>
    <row r="125" spans="1:29" s="3" customFormat="1" ht="15">
      <c r="A125" s="143" t="s">
        <v>146</v>
      </c>
      <c r="B125" s="30" t="s">
        <v>147</v>
      </c>
      <c r="C125" s="40">
        <f>250000+250000</f>
        <v>500000</v>
      </c>
      <c r="D125" s="41"/>
      <c r="E125" s="41">
        <v>250000</v>
      </c>
      <c r="F125" s="41">
        <v>0</v>
      </c>
      <c r="G125" s="41">
        <v>250000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133">
        <f t="shared" si="62"/>
        <v>500000</v>
      </c>
      <c r="R125" s="134">
        <f>+Q125/C125</f>
        <v>1</v>
      </c>
      <c r="S125" s="133">
        <f>+C125-Q125</f>
        <v>0</v>
      </c>
      <c r="T125" s="134">
        <f>+S125/C125</f>
        <v>0</v>
      </c>
      <c r="U125" s="133">
        <f>+C125-Q125</f>
        <v>0</v>
      </c>
      <c r="V125" s="134">
        <f>+U125/C125</f>
        <v>0</v>
      </c>
      <c r="AC125" s="2"/>
    </row>
    <row r="126" spans="1:29" s="3" customFormat="1" ht="15">
      <c r="A126" s="45" t="s">
        <v>115</v>
      </c>
      <c r="B126" s="6" t="s">
        <v>156</v>
      </c>
      <c r="C126" s="40">
        <v>1710000</v>
      </c>
      <c r="D126" s="41"/>
      <c r="E126" s="41">
        <v>113000</v>
      </c>
      <c r="F126" s="41">
        <v>25121</v>
      </c>
      <c r="G126" s="41">
        <v>405676.93</v>
      </c>
      <c r="H126" s="41">
        <v>33052.93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133">
        <f t="shared" si="62"/>
        <v>576850.86</v>
      </c>
      <c r="R126" s="134">
        <f t="shared" si="59"/>
        <v>0.3373396842105263</v>
      </c>
      <c r="S126" s="133">
        <f t="shared" si="60"/>
        <v>1133149.1400000001</v>
      </c>
      <c r="T126" s="134">
        <f t="shared" si="61"/>
        <v>0.6626603157894737</v>
      </c>
      <c r="U126" s="133">
        <f>+C126-Q126</f>
        <v>1133149.1400000001</v>
      </c>
      <c r="V126" s="134">
        <f t="shared" si="64"/>
        <v>0.6626603157894737</v>
      </c>
      <c r="AC126" s="2"/>
    </row>
    <row r="127" spans="1:29" s="3" customFormat="1" ht="30">
      <c r="A127" s="84" t="s">
        <v>192</v>
      </c>
      <c r="B127" s="14" t="s">
        <v>193</v>
      </c>
      <c r="C127" s="40">
        <v>840000</v>
      </c>
      <c r="D127" s="41"/>
      <c r="E127" s="41">
        <v>0</v>
      </c>
      <c r="F127" s="41">
        <v>113000</v>
      </c>
      <c r="G127" s="41">
        <v>113000</v>
      </c>
      <c r="H127" s="41">
        <v>113000</v>
      </c>
      <c r="I127" s="41">
        <v>118000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133">
        <f t="shared" si="62"/>
        <v>457000</v>
      </c>
      <c r="R127" s="134">
        <f t="shared" si="59"/>
        <v>0.544047619047619</v>
      </c>
      <c r="S127" s="133">
        <f t="shared" si="60"/>
        <v>383000</v>
      </c>
      <c r="T127" s="134">
        <f t="shared" si="61"/>
        <v>0.45595238095238094</v>
      </c>
      <c r="U127" s="133">
        <f t="shared" si="63"/>
        <v>383000</v>
      </c>
      <c r="V127" s="134">
        <f t="shared" si="64"/>
        <v>0.45595238095238094</v>
      </c>
      <c r="AC127" s="2"/>
    </row>
    <row r="128" spans="1:29" s="3" customFormat="1" ht="30" hidden="1">
      <c r="A128" s="84" t="s">
        <v>144</v>
      </c>
      <c r="B128" s="14" t="s">
        <v>143</v>
      </c>
      <c r="C128" s="40">
        <f>+D128*12</f>
        <v>0</v>
      </c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133">
        <f t="shared" si="62"/>
        <v>0</v>
      </c>
      <c r="R128" s="134" t="e">
        <f t="shared" si="59"/>
        <v>#DIV/0!</v>
      </c>
      <c r="S128" s="133">
        <f t="shared" si="60"/>
        <v>0</v>
      </c>
      <c r="T128" s="134" t="e">
        <f t="shared" si="61"/>
        <v>#DIV/0!</v>
      </c>
      <c r="U128" s="133">
        <f t="shared" si="63"/>
        <v>0</v>
      </c>
      <c r="V128" s="134" t="e">
        <f t="shared" si="64"/>
        <v>#DIV/0!</v>
      </c>
      <c r="AC128" s="2"/>
    </row>
    <row r="129" spans="1:29" s="3" customFormat="1" ht="30" hidden="1">
      <c r="A129" s="84" t="s">
        <v>181</v>
      </c>
      <c r="B129" s="60" t="s">
        <v>182</v>
      </c>
      <c r="C129" s="40">
        <f>+D129*12</f>
        <v>0</v>
      </c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133">
        <f t="shared" si="62"/>
        <v>0</v>
      </c>
      <c r="R129" s="134" t="e">
        <f t="shared" si="59"/>
        <v>#DIV/0!</v>
      </c>
      <c r="S129" s="133">
        <f t="shared" si="60"/>
        <v>0</v>
      </c>
      <c r="T129" s="134" t="e">
        <f t="shared" si="61"/>
        <v>#DIV/0!</v>
      </c>
      <c r="U129" s="133">
        <f t="shared" si="63"/>
        <v>0</v>
      </c>
      <c r="V129" s="134" t="e">
        <f t="shared" si="64"/>
        <v>#DIV/0!</v>
      </c>
      <c r="AC129" s="2"/>
    </row>
    <row r="130" spans="1:29" s="3" customFormat="1" ht="30" hidden="1">
      <c r="A130" s="84" t="s">
        <v>161</v>
      </c>
      <c r="B130" s="35" t="s">
        <v>264</v>
      </c>
      <c r="C130" s="40">
        <f>+D130*12</f>
        <v>0</v>
      </c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133">
        <f t="shared" si="62"/>
        <v>0</v>
      </c>
      <c r="R130" s="134" t="e">
        <f t="shared" si="59"/>
        <v>#DIV/0!</v>
      </c>
      <c r="S130" s="133">
        <f t="shared" si="60"/>
        <v>0</v>
      </c>
      <c r="T130" s="134" t="e">
        <f t="shared" si="61"/>
        <v>#DIV/0!</v>
      </c>
      <c r="U130" s="133">
        <f t="shared" si="63"/>
        <v>0</v>
      </c>
      <c r="V130" s="134" t="e">
        <f t="shared" si="64"/>
        <v>#DIV/0!</v>
      </c>
      <c r="W130" s="4"/>
      <c r="X130" s="4"/>
      <c r="Y130" s="4"/>
      <c r="Z130" s="4"/>
      <c r="AA130" s="4"/>
      <c r="AB130" s="4"/>
      <c r="AC130" s="17"/>
    </row>
    <row r="131" spans="1:29" s="3" customFormat="1" ht="15" hidden="1">
      <c r="A131" s="45"/>
      <c r="B131" s="6"/>
      <c r="C131" s="36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133">
        <f t="shared" si="62"/>
        <v>0</v>
      </c>
      <c r="R131" s="134" t="e">
        <f t="shared" si="59"/>
        <v>#DIV/0!</v>
      </c>
      <c r="S131" s="133">
        <f t="shared" si="60"/>
        <v>0</v>
      </c>
      <c r="T131" s="134" t="e">
        <f t="shared" si="61"/>
        <v>#DIV/0!</v>
      </c>
      <c r="U131" s="133">
        <f t="shared" si="63"/>
        <v>0</v>
      </c>
      <c r="V131" s="134" t="e">
        <f t="shared" si="64"/>
        <v>#DIV/0!</v>
      </c>
      <c r="W131" s="4"/>
      <c r="X131" s="4"/>
      <c r="Y131" s="4"/>
      <c r="Z131" s="4"/>
      <c r="AA131" s="4"/>
      <c r="AB131" s="4"/>
      <c r="AC131" s="17"/>
    </row>
    <row r="132" spans="1:29" s="3" customFormat="1" ht="15" hidden="1">
      <c r="A132" s="45"/>
      <c r="B132" s="14"/>
      <c r="C132" s="36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133">
        <f t="shared" si="62"/>
        <v>0</v>
      </c>
      <c r="R132" s="134" t="e">
        <f t="shared" si="59"/>
        <v>#DIV/0!</v>
      </c>
      <c r="S132" s="133">
        <f t="shared" si="60"/>
        <v>0</v>
      </c>
      <c r="T132" s="134" t="e">
        <f t="shared" si="61"/>
        <v>#DIV/0!</v>
      </c>
      <c r="U132" s="133">
        <f t="shared" si="63"/>
        <v>0</v>
      </c>
      <c r="V132" s="134" t="e">
        <f t="shared" si="64"/>
        <v>#DIV/0!</v>
      </c>
      <c r="W132" s="4"/>
      <c r="X132" s="4"/>
      <c r="Y132" s="4"/>
      <c r="Z132" s="4"/>
      <c r="AA132" s="4"/>
      <c r="AB132" s="4"/>
      <c r="AC132" s="17"/>
    </row>
    <row r="133" spans="1:29" s="3" customFormat="1" ht="30">
      <c r="A133" s="84" t="s">
        <v>144</v>
      </c>
      <c r="B133" s="14" t="s">
        <v>143</v>
      </c>
      <c r="C133" s="40">
        <v>900000</v>
      </c>
      <c r="D133" s="41"/>
      <c r="E133" s="41">
        <v>0</v>
      </c>
      <c r="F133" s="41">
        <v>18000</v>
      </c>
      <c r="G133" s="41">
        <v>0</v>
      </c>
      <c r="H133" s="41">
        <v>0</v>
      </c>
      <c r="I133" s="41">
        <v>100000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133">
        <f t="shared" si="62"/>
        <v>118000</v>
      </c>
      <c r="R133" s="134">
        <f>+Q133/C133</f>
        <v>0.13111111111111112</v>
      </c>
      <c r="S133" s="133">
        <f aca="true" t="shared" si="65" ref="S133:S156">+C133-Q133</f>
        <v>782000</v>
      </c>
      <c r="T133" s="134">
        <f aca="true" t="shared" si="66" ref="T133:T157">+S133/C133</f>
        <v>0.8688888888888889</v>
      </c>
      <c r="U133" s="133">
        <f>+C133-Q133</f>
        <v>782000</v>
      </c>
      <c r="V133" s="134">
        <f>+U133/C133</f>
        <v>0.8688888888888889</v>
      </c>
      <c r="W133" s="4"/>
      <c r="X133" s="4"/>
      <c r="Y133" s="4"/>
      <c r="Z133" s="4"/>
      <c r="AA133" s="4"/>
      <c r="AB133" s="4"/>
      <c r="AC133" s="17"/>
    </row>
    <row r="134" spans="1:29" s="3" customFormat="1" ht="30">
      <c r="A134" s="84" t="s">
        <v>181</v>
      </c>
      <c r="B134" s="60" t="s">
        <v>182</v>
      </c>
      <c r="C134" s="40">
        <v>120000</v>
      </c>
      <c r="D134" s="41"/>
      <c r="E134" s="41">
        <v>75000</v>
      </c>
      <c r="F134" s="41">
        <v>0</v>
      </c>
      <c r="G134" s="41">
        <v>0</v>
      </c>
      <c r="H134" s="41">
        <v>0</v>
      </c>
      <c r="I134" s="41">
        <v>0</v>
      </c>
      <c r="J134" s="41">
        <v>0</v>
      </c>
      <c r="K134" s="41">
        <v>0</v>
      </c>
      <c r="L134" s="41">
        <v>0</v>
      </c>
      <c r="M134" s="41">
        <v>0</v>
      </c>
      <c r="N134" s="41">
        <v>0</v>
      </c>
      <c r="O134" s="41">
        <v>0</v>
      </c>
      <c r="P134" s="41">
        <v>0</v>
      </c>
      <c r="Q134" s="133">
        <f t="shared" si="62"/>
        <v>75000</v>
      </c>
      <c r="R134" s="134">
        <f>+Q134/C134</f>
        <v>0.625</v>
      </c>
      <c r="S134" s="133">
        <f t="shared" si="65"/>
        <v>45000</v>
      </c>
      <c r="T134" s="134">
        <f t="shared" si="66"/>
        <v>0.375</v>
      </c>
      <c r="U134" s="133">
        <f>+C134-Q134</f>
        <v>45000</v>
      </c>
      <c r="V134" s="134">
        <f>+U134/C134</f>
        <v>0.375</v>
      </c>
      <c r="W134" s="4"/>
      <c r="X134" s="4"/>
      <c r="Y134" s="4"/>
      <c r="Z134" s="4"/>
      <c r="AA134" s="4"/>
      <c r="AB134" s="4"/>
      <c r="AC134" s="17"/>
    </row>
    <row r="135" spans="1:29" s="3" customFormat="1" ht="30">
      <c r="A135" s="84" t="s">
        <v>161</v>
      </c>
      <c r="B135" s="35" t="s">
        <v>264</v>
      </c>
      <c r="C135" s="40">
        <v>348000</v>
      </c>
      <c r="D135" s="41"/>
      <c r="E135" s="41">
        <v>28975</v>
      </c>
      <c r="F135" s="41">
        <v>28875</v>
      </c>
      <c r="G135" s="41">
        <v>27950</v>
      </c>
      <c r="H135" s="41">
        <v>27750</v>
      </c>
      <c r="I135" s="41">
        <v>27750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133">
        <f t="shared" si="62"/>
        <v>141300</v>
      </c>
      <c r="R135" s="134">
        <f>+Q135/C135</f>
        <v>0.4060344827586207</v>
      </c>
      <c r="S135" s="133">
        <f t="shared" si="65"/>
        <v>206700</v>
      </c>
      <c r="T135" s="134">
        <f t="shared" si="66"/>
        <v>0.5939655172413794</v>
      </c>
      <c r="U135" s="133">
        <f>+C135-Q135</f>
        <v>206700</v>
      </c>
      <c r="V135" s="134">
        <f>+U135/C135</f>
        <v>0.5939655172413794</v>
      </c>
      <c r="W135" s="4"/>
      <c r="X135" s="4"/>
      <c r="Y135" s="4"/>
      <c r="Z135" s="4"/>
      <c r="AA135" s="4"/>
      <c r="AB135" s="4"/>
      <c r="AC135" s="17"/>
    </row>
    <row r="136" spans="1:29" s="3" customFormat="1" ht="15">
      <c r="A136" s="20" t="s">
        <v>80</v>
      </c>
      <c r="B136" s="8" t="s">
        <v>359</v>
      </c>
      <c r="C136" s="70">
        <f>+C137+C138+C139+C140</f>
        <v>5760800</v>
      </c>
      <c r="D136" s="70">
        <f>+D137+D138+D139+D140</f>
        <v>0</v>
      </c>
      <c r="E136" s="70">
        <f aca="true" t="shared" si="67" ref="E136:P136">+E137+E138+E139+E140</f>
        <v>0</v>
      </c>
      <c r="F136" s="70">
        <f t="shared" si="67"/>
        <v>1185851.62</v>
      </c>
      <c r="G136" s="70">
        <f t="shared" si="67"/>
        <v>1594983.5099999998</v>
      </c>
      <c r="H136" s="70">
        <f>+H137+H138+H139+H140</f>
        <v>11782.3</v>
      </c>
      <c r="I136" s="70">
        <f t="shared" si="67"/>
        <v>903290</v>
      </c>
      <c r="J136" s="70">
        <f t="shared" si="67"/>
        <v>0</v>
      </c>
      <c r="K136" s="70">
        <f t="shared" si="67"/>
        <v>0</v>
      </c>
      <c r="L136" s="70">
        <f t="shared" si="67"/>
        <v>0</v>
      </c>
      <c r="M136" s="70">
        <f t="shared" si="67"/>
        <v>0</v>
      </c>
      <c r="N136" s="70">
        <f t="shared" si="67"/>
        <v>0</v>
      </c>
      <c r="O136" s="70">
        <f t="shared" si="67"/>
        <v>0</v>
      </c>
      <c r="P136" s="70">
        <f t="shared" si="67"/>
        <v>0</v>
      </c>
      <c r="Q136" s="74">
        <f>SUM(E136:P136)</f>
        <v>3695907.4299999997</v>
      </c>
      <c r="R136" s="75">
        <f>+Q136/(C136+D136)</f>
        <v>0.6415614897236495</v>
      </c>
      <c r="S136" s="74">
        <f t="shared" si="65"/>
        <v>2064892.5700000003</v>
      </c>
      <c r="T136" s="75">
        <f t="shared" si="66"/>
        <v>0.35843851027635054</v>
      </c>
      <c r="U136" s="74">
        <f>+C136+D136-Q136</f>
        <v>2064892.5700000003</v>
      </c>
      <c r="V136" s="75">
        <f>+U136/C136</f>
        <v>0.35843851027635054</v>
      </c>
      <c r="W136" s="4"/>
      <c r="X136" s="4"/>
      <c r="Y136" s="4"/>
      <c r="Z136" s="4"/>
      <c r="AA136" s="4"/>
      <c r="AB136" s="4"/>
      <c r="AC136" s="17"/>
    </row>
    <row r="137" spans="1:29" s="10" customFormat="1" ht="15">
      <c r="A137" s="144" t="s">
        <v>116</v>
      </c>
      <c r="B137" s="23" t="s">
        <v>178</v>
      </c>
      <c r="C137" s="40">
        <f>1200000+300000</f>
        <v>1500000</v>
      </c>
      <c r="D137" s="41"/>
      <c r="E137" s="41">
        <v>0</v>
      </c>
      <c r="F137" s="40">
        <v>1182852.06</v>
      </c>
      <c r="G137" s="40">
        <v>291353.8</v>
      </c>
      <c r="H137" s="40">
        <v>0</v>
      </c>
      <c r="I137" s="40">
        <v>0</v>
      </c>
      <c r="J137" s="40">
        <v>0</v>
      </c>
      <c r="K137" s="40">
        <v>0</v>
      </c>
      <c r="L137" s="40">
        <v>0</v>
      </c>
      <c r="M137" s="40">
        <v>0</v>
      </c>
      <c r="N137" s="40">
        <v>0</v>
      </c>
      <c r="O137" s="40">
        <v>0</v>
      </c>
      <c r="P137" s="40">
        <v>0</v>
      </c>
      <c r="Q137" s="133">
        <f t="shared" si="62"/>
        <v>1474205.86</v>
      </c>
      <c r="R137" s="134">
        <f aca="true" t="shared" si="68" ref="R137:R157">+Q137/C137</f>
        <v>0.9828039066666667</v>
      </c>
      <c r="S137" s="133">
        <f t="shared" si="65"/>
        <v>25794.139999999898</v>
      </c>
      <c r="T137" s="134">
        <f t="shared" si="66"/>
        <v>0.017196093333333266</v>
      </c>
      <c r="U137" s="133">
        <f>+C137-Q137</f>
        <v>25794.139999999898</v>
      </c>
      <c r="V137" s="134">
        <f aca="true" t="shared" si="69" ref="V137:V157">+U137/C137</f>
        <v>0.017196093333333266</v>
      </c>
      <c r="AC137" s="1"/>
    </row>
    <row r="138" spans="1:29" s="10" customFormat="1" ht="15">
      <c r="A138" s="143" t="s">
        <v>265</v>
      </c>
      <c r="B138" s="30" t="s">
        <v>266</v>
      </c>
      <c r="C138" s="40">
        <v>1000800</v>
      </c>
      <c r="D138" s="41"/>
      <c r="E138" s="41">
        <v>0</v>
      </c>
      <c r="F138" s="40">
        <v>0</v>
      </c>
      <c r="G138" s="40">
        <v>0</v>
      </c>
      <c r="H138" s="40">
        <v>0</v>
      </c>
      <c r="I138" s="40">
        <v>903290</v>
      </c>
      <c r="J138" s="40">
        <v>0</v>
      </c>
      <c r="K138" s="40">
        <v>0</v>
      </c>
      <c r="L138" s="40">
        <v>0</v>
      </c>
      <c r="M138" s="40">
        <v>0</v>
      </c>
      <c r="N138" s="40">
        <v>0</v>
      </c>
      <c r="O138" s="40">
        <v>0</v>
      </c>
      <c r="P138" s="40">
        <v>0</v>
      </c>
      <c r="Q138" s="133">
        <f t="shared" si="62"/>
        <v>903290</v>
      </c>
      <c r="R138" s="134">
        <f t="shared" si="68"/>
        <v>0.9025679456434852</v>
      </c>
      <c r="S138" s="133">
        <f t="shared" si="65"/>
        <v>97510</v>
      </c>
      <c r="T138" s="134">
        <f t="shared" si="66"/>
        <v>0.0974320543565148</v>
      </c>
      <c r="U138" s="133">
        <f>+C138-Q138</f>
        <v>97510</v>
      </c>
      <c r="V138" s="134">
        <f t="shared" si="69"/>
        <v>0.0974320543565148</v>
      </c>
      <c r="AC138" s="1"/>
    </row>
    <row r="139" spans="1:29" s="10" customFormat="1" ht="30">
      <c r="A139" s="143" t="s">
        <v>128</v>
      </c>
      <c r="B139" s="30" t="s">
        <v>162</v>
      </c>
      <c r="C139" s="40">
        <f>2160000-250000</f>
        <v>1910000</v>
      </c>
      <c r="D139" s="41"/>
      <c r="E139" s="41">
        <v>0</v>
      </c>
      <c r="F139" s="40">
        <v>0</v>
      </c>
      <c r="G139" s="40">
        <v>875403.34</v>
      </c>
      <c r="H139" s="40">
        <v>0</v>
      </c>
      <c r="I139" s="40">
        <v>0</v>
      </c>
      <c r="J139" s="40">
        <v>0</v>
      </c>
      <c r="K139" s="40">
        <v>0</v>
      </c>
      <c r="L139" s="40">
        <v>0</v>
      </c>
      <c r="M139" s="40">
        <v>0</v>
      </c>
      <c r="N139" s="40">
        <v>0</v>
      </c>
      <c r="O139" s="40">
        <v>0</v>
      </c>
      <c r="P139" s="40">
        <v>0</v>
      </c>
      <c r="Q139" s="133">
        <f t="shared" si="62"/>
        <v>875403.34</v>
      </c>
      <c r="R139" s="134">
        <f t="shared" si="68"/>
        <v>0.4583263560209424</v>
      </c>
      <c r="S139" s="133">
        <f t="shared" si="65"/>
        <v>1034596.66</v>
      </c>
      <c r="T139" s="134">
        <f t="shared" si="66"/>
        <v>0.5416736439790576</v>
      </c>
      <c r="U139" s="133">
        <f>+C139-Q139</f>
        <v>1034596.66</v>
      </c>
      <c r="V139" s="134">
        <f t="shared" si="69"/>
        <v>0.5416736439790576</v>
      </c>
      <c r="AC139" s="1"/>
    </row>
    <row r="140" spans="1:29" s="15" customFormat="1" ht="15">
      <c r="A140" s="84" t="s">
        <v>126</v>
      </c>
      <c r="B140" s="60" t="s">
        <v>267</v>
      </c>
      <c r="C140" s="40">
        <v>1350000</v>
      </c>
      <c r="D140" s="41"/>
      <c r="E140" s="41">
        <v>0</v>
      </c>
      <c r="F140" s="40">
        <v>2999.56</v>
      </c>
      <c r="G140" s="40">
        <v>428226.37</v>
      </c>
      <c r="H140" s="40">
        <v>11782.3</v>
      </c>
      <c r="I140" s="40">
        <v>0</v>
      </c>
      <c r="J140" s="40">
        <v>0</v>
      </c>
      <c r="K140" s="40">
        <v>0</v>
      </c>
      <c r="L140" s="40">
        <v>0</v>
      </c>
      <c r="M140" s="40">
        <v>0</v>
      </c>
      <c r="N140" s="40">
        <v>0</v>
      </c>
      <c r="O140" s="40">
        <v>0</v>
      </c>
      <c r="P140" s="40">
        <v>0</v>
      </c>
      <c r="Q140" s="133">
        <f>SUM(E140:P140)</f>
        <v>443008.23</v>
      </c>
      <c r="R140" s="134">
        <f t="shared" si="68"/>
        <v>0.3281542444444444</v>
      </c>
      <c r="S140" s="133">
        <f t="shared" si="65"/>
        <v>906991.77</v>
      </c>
      <c r="T140" s="134">
        <f t="shared" si="66"/>
        <v>0.6718457555555556</v>
      </c>
      <c r="U140" s="133">
        <f>+C140-Q140</f>
        <v>906991.77</v>
      </c>
      <c r="V140" s="134">
        <f t="shared" si="69"/>
        <v>0.6718457555555556</v>
      </c>
      <c r="AC140" s="13"/>
    </row>
    <row r="141" spans="1:29" s="15" customFormat="1" ht="30">
      <c r="A141" s="37" t="s">
        <v>268</v>
      </c>
      <c r="B141" s="147" t="s">
        <v>269</v>
      </c>
      <c r="C141" s="70">
        <f>+C142</f>
        <v>1400000</v>
      </c>
      <c r="D141" s="70">
        <f>+D142</f>
        <v>0</v>
      </c>
      <c r="E141" s="70">
        <f aca="true" t="shared" si="70" ref="E141:P141">+E142</f>
        <v>0</v>
      </c>
      <c r="F141" s="70">
        <f t="shared" si="70"/>
        <v>0</v>
      </c>
      <c r="G141" s="70">
        <f t="shared" si="70"/>
        <v>0</v>
      </c>
      <c r="H141" s="70">
        <f t="shared" si="70"/>
        <v>0</v>
      </c>
      <c r="I141" s="70">
        <f>+I142</f>
        <v>0</v>
      </c>
      <c r="J141" s="70">
        <f t="shared" si="70"/>
        <v>0</v>
      </c>
      <c r="K141" s="70">
        <f t="shared" si="70"/>
        <v>0</v>
      </c>
      <c r="L141" s="70">
        <f t="shared" si="70"/>
        <v>0</v>
      </c>
      <c r="M141" s="70">
        <f t="shared" si="70"/>
        <v>0</v>
      </c>
      <c r="N141" s="70">
        <f t="shared" si="70"/>
        <v>0</v>
      </c>
      <c r="O141" s="70">
        <f t="shared" si="70"/>
        <v>0</v>
      </c>
      <c r="P141" s="70">
        <f t="shared" si="70"/>
        <v>0</v>
      </c>
      <c r="Q141" s="74">
        <f>SUM(E141:P141)</f>
        <v>0</v>
      </c>
      <c r="R141" s="75">
        <f>+Q141/C141</f>
        <v>0</v>
      </c>
      <c r="S141" s="74">
        <f t="shared" si="65"/>
        <v>1400000</v>
      </c>
      <c r="T141" s="75">
        <f t="shared" si="66"/>
        <v>1</v>
      </c>
      <c r="U141" s="74">
        <f>+U142</f>
        <v>1400000</v>
      </c>
      <c r="V141" s="76">
        <f t="shared" si="69"/>
        <v>1</v>
      </c>
      <c r="AC141" s="13"/>
    </row>
    <row r="142" spans="1:29" s="15" customFormat="1" ht="15">
      <c r="A142" s="146" t="s">
        <v>130</v>
      </c>
      <c r="B142" s="23" t="s">
        <v>129</v>
      </c>
      <c r="C142" s="36">
        <f>2400000-1000000</f>
        <v>1400000</v>
      </c>
      <c r="D142" s="41"/>
      <c r="E142" s="41">
        <v>0</v>
      </c>
      <c r="F142" s="40">
        <v>0</v>
      </c>
      <c r="G142" s="40">
        <v>0</v>
      </c>
      <c r="H142" s="40">
        <v>0</v>
      </c>
      <c r="I142" s="40">
        <v>0</v>
      </c>
      <c r="J142" s="40"/>
      <c r="K142" s="40"/>
      <c r="L142" s="40"/>
      <c r="M142" s="40"/>
      <c r="N142" s="40"/>
      <c r="O142" s="40"/>
      <c r="P142" s="40"/>
      <c r="Q142" s="133">
        <f t="shared" si="62"/>
        <v>0</v>
      </c>
      <c r="R142" s="134">
        <f t="shared" si="68"/>
        <v>0</v>
      </c>
      <c r="S142" s="133">
        <f t="shared" si="65"/>
        <v>1400000</v>
      </c>
      <c r="T142" s="134">
        <f t="shared" si="66"/>
        <v>1</v>
      </c>
      <c r="U142" s="133">
        <f>+C142-Q142</f>
        <v>1400000</v>
      </c>
      <c r="V142" s="134">
        <f t="shared" si="69"/>
        <v>1</v>
      </c>
      <c r="AC142" s="13"/>
    </row>
    <row r="143" spans="1:29" s="15" customFormat="1" ht="15">
      <c r="A143" s="20" t="s">
        <v>270</v>
      </c>
      <c r="B143" s="20" t="s">
        <v>271</v>
      </c>
      <c r="C143" s="70">
        <f>+C144</f>
        <v>603067.44</v>
      </c>
      <c r="D143" s="70">
        <f>+D144</f>
        <v>0</v>
      </c>
      <c r="E143" s="70">
        <f aca="true" t="shared" si="71" ref="E143:P145">+E144</f>
        <v>0</v>
      </c>
      <c r="F143" s="70">
        <f t="shared" si="71"/>
        <v>0</v>
      </c>
      <c r="G143" s="70">
        <f t="shared" si="71"/>
        <v>0</v>
      </c>
      <c r="H143" s="70">
        <f t="shared" si="71"/>
        <v>0</v>
      </c>
      <c r="I143" s="70">
        <f t="shared" si="71"/>
        <v>0</v>
      </c>
      <c r="J143" s="70">
        <f t="shared" si="71"/>
        <v>0</v>
      </c>
      <c r="K143" s="70">
        <f t="shared" si="71"/>
        <v>0</v>
      </c>
      <c r="L143" s="70">
        <f t="shared" si="71"/>
        <v>0</v>
      </c>
      <c r="M143" s="70">
        <f t="shared" si="71"/>
        <v>0</v>
      </c>
      <c r="N143" s="70">
        <f t="shared" si="71"/>
        <v>0</v>
      </c>
      <c r="O143" s="70">
        <f t="shared" si="71"/>
        <v>0</v>
      </c>
      <c r="P143" s="70">
        <f t="shared" si="71"/>
        <v>0</v>
      </c>
      <c r="Q143" s="74">
        <f>SUM(E143:P143)</f>
        <v>0</v>
      </c>
      <c r="R143" s="75">
        <f t="shared" si="68"/>
        <v>0</v>
      </c>
      <c r="S143" s="74">
        <f t="shared" si="65"/>
        <v>603067.44</v>
      </c>
      <c r="T143" s="75">
        <f t="shared" si="66"/>
        <v>1</v>
      </c>
      <c r="U143" s="74">
        <f>+U144</f>
        <v>603067.44</v>
      </c>
      <c r="V143" s="76">
        <f t="shared" si="69"/>
        <v>1</v>
      </c>
      <c r="AC143" s="13"/>
    </row>
    <row r="144" spans="1:29" s="15" customFormat="1" ht="15">
      <c r="A144" s="146" t="s">
        <v>120</v>
      </c>
      <c r="B144" s="23" t="s">
        <v>121</v>
      </c>
      <c r="C144" s="36">
        <v>603067.44</v>
      </c>
      <c r="D144" s="41"/>
      <c r="E144" s="41">
        <v>0</v>
      </c>
      <c r="F144" s="40">
        <v>0</v>
      </c>
      <c r="G144" s="40">
        <v>0</v>
      </c>
      <c r="H144" s="40">
        <v>0</v>
      </c>
      <c r="I144" s="40">
        <v>0</v>
      </c>
      <c r="J144" s="40"/>
      <c r="K144" s="40"/>
      <c r="L144" s="40"/>
      <c r="M144" s="40"/>
      <c r="N144" s="40"/>
      <c r="O144" s="40"/>
      <c r="P144" s="40"/>
      <c r="Q144" s="133">
        <f t="shared" si="62"/>
        <v>0</v>
      </c>
      <c r="R144" s="134">
        <f>+Q144/C144</f>
        <v>0</v>
      </c>
      <c r="S144" s="133">
        <f t="shared" si="65"/>
        <v>603067.44</v>
      </c>
      <c r="T144" s="134">
        <f t="shared" si="66"/>
        <v>1</v>
      </c>
      <c r="U144" s="133">
        <f>+C144-Q144</f>
        <v>603067.44</v>
      </c>
      <c r="V144" s="134">
        <f t="shared" si="69"/>
        <v>1</v>
      </c>
      <c r="AC144" s="13"/>
    </row>
    <row r="145" spans="1:29" s="15" customFormat="1" ht="30">
      <c r="A145" s="37" t="s">
        <v>342</v>
      </c>
      <c r="B145" s="149" t="s">
        <v>344</v>
      </c>
      <c r="C145" s="70">
        <f>+C146</f>
        <v>0</v>
      </c>
      <c r="D145" s="70">
        <f>+D146+D147</f>
        <v>61921920</v>
      </c>
      <c r="E145" s="70">
        <f t="shared" si="71"/>
        <v>0</v>
      </c>
      <c r="F145" s="70">
        <f t="shared" si="71"/>
        <v>0</v>
      </c>
      <c r="G145" s="70">
        <f t="shared" si="71"/>
        <v>0</v>
      </c>
      <c r="H145" s="70">
        <f t="shared" si="71"/>
        <v>0</v>
      </c>
      <c r="I145" s="70">
        <f>+I146+I147</f>
        <v>53356874.83</v>
      </c>
      <c r="J145" s="70">
        <f t="shared" si="71"/>
        <v>0</v>
      </c>
      <c r="K145" s="70">
        <f t="shared" si="71"/>
        <v>0</v>
      </c>
      <c r="L145" s="70">
        <f t="shared" si="71"/>
        <v>0</v>
      </c>
      <c r="M145" s="70">
        <f t="shared" si="71"/>
        <v>0</v>
      </c>
      <c r="N145" s="70">
        <f t="shared" si="71"/>
        <v>0</v>
      </c>
      <c r="O145" s="70">
        <f t="shared" si="71"/>
        <v>0</v>
      </c>
      <c r="P145" s="70">
        <f t="shared" si="71"/>
        <v>0</v>
      </c>
      <c r="Q145" s="74">
        <f>+P145+O145+N145+M145+L145+K145+J145+I145+H145+G145+F145+E145</f>
        <v>53356874.83</v>
      </c>
      <c r="R145" s="75">
        <f>+D145/Q145</f>
        <v>1.160523741266501</v>
      </c>
      <c r="S145" s="74">
        <f t="shared" si="65"/>
        <v>-53356874.83</v>
      </c>
      <c r="T145" s="75" t="e">
        <f t="shared" si="66"/>
        <v>#DIV/0!</v>
      </c>
      <c r="U145" s="74">
        <f>+C145+D145-Q145</f>
        <v>8565045.170000002</v>
      </c>
      <c r="V145" s="72" t="e">
        <f t="shared" si="69"/>
        <v>#DIV/0!</v>
      </c>
      <c r="AC145" s="13"/>
    </row>
    <row r="146" spans="1:29" s="15" customFormat="1" ht="15">
      <c r="A146" s="138" t="s">
        <v>223</v>
      </c>
      <c r="B146" s="146" t="s">
        <v>343</v>
      </c>
      <c r="C146" s="36">
        <v>0</v>
      </c>
      <c r="D146" s="41">
        <f>61921920-4530749.83</f>
        <v>57391170.17</v>
      </c>
      <c r="E146" s="41">
        <v>0</v>
      </c>
      <c r="F146" s="40">
        <v>0</v>
      </c>
      <c r="G146" s="40">
        <v>0</v>
      </c>
      <c r="H146" s="40">
        <v>0</v>
      </c>
      <c r="I146" s="40">
        <v>48826125</v>
      </c>
      <c r="J146" s="40"/>
      <c r="K146" s="40"/>
      <c r="L146" s="40"/>
      <c r="M146" s="40"/>
      <c r="N146" s="40"/>
      <c r="O146" s="40"/>
      <c r="P146" s="40"/>
      <c r="Q146" s="41">
        <f>+P146+O146+N146+M146+L146+K146+J146+I146+H146+G146+F146+E146</f>
        <v>48826125</v>
      </c>
      <c r="R146" s="134">
        <f>+Q146/D146</f>
        <v>0.8507602276686598</v>
      </c>
      <c r="S146" s="133">
        <f aca="true" t="shared" si="72" ref="S146:S151">+C146-Q146</f>
        <v>-48826125</v>
      </c>
      <c r="T146" s="134" t="e">
        <f aca="true" t="shared" si="73" ref="T146:T151">+S146/C146</f>
        <v>#DIV/0!</v>
      </c>
      <c r="U146" s="133">
        <f>+D146-Q146</f>
        <v>8565045.170000002</v>
      </c>
      <c r="V146" s="134">
        <f>+U146/D146</f>
        <v>0.14923977233134017</v>
      </c>
      <c r="AC146" s="13"/>
    </row>
    <row r="147" spans="1:29" s="15" customFormat="1" ht="15">
      <c r="A147" s="138" t="s">
        <v>345</v>
      </c>
      <c r="B147" s="146" t="s">
        <v>346</v>
      </c>
      <c r="C147" s="36">
        <v>0</v>
      </c>
      <c r="D147" s="41">
        <v>4530749.83</v>
      </c>
      <c r="E147" s="41">
        <v>0</v>
      </c>
      <c r="F147" s="40">
        <v>0</v>
      </c>
      <c r="G147" s="40">
        <v>0</v>
      </c>
      <c r="H147" s="40">
        <v>0</v>
      </c>
      <c r="I147" s="40">
        <v>4530749.83</v>
      </c>
      <c r="J147" s="40"/>
      <c r="K147" s="40"/>
      <c r="L147" s="40"/>
      <c r="M147" s="40"/>
      <c r="N147" s="40"/>
      <c r="O147" s="40"/>
      <c r="P147" s="40"/>
      <c r="Q147" s="41">
        <f>+P147+O147+N147+M147+L147+K147+J147+I147+H147+G147+F147+E147</f>
        <v>4530749.83</v>
      </c>
      <c r="R147" s="134">
        <f>+Q147/D147</f>
        <v>1</v>
      </c>
      <c r="S147" s="133">
        <f t="shared" si="72"/>
        <v>-4530749.83</v>
      </c>
      <c r="T147" s="134" t="e">
        <f t="shared" si="73"/>
        <v>#DIV/0!</v>
      </c>
      <c r="U147" s="133">
        <f>+D147-Q147</f>
        <v>0</v>
      </c>
      <c r="V147" s="134">
        <f>+U147/D147</f>
        <v>0</v>
      </c>
      <c r="AC147" s="13"/>
    </row>
    <row r="148" spans="1:29" s="15" customFormat="1" ht="15">
      <c r="A148" s="20" t="s">
        <v>334</v>
      </c>
      <c r="B148" s="20" t="s">
        <v>336</v>
      </c>
      <c r="C148" s="70">
        <f>+C149+C150</f>
        <v>1400000</v>
      </c>
      <c r="D148" s="70">
        <f>+D149+D150</f>
        <v>0</v>
      </c>
      <c r="E148" s="70"/>
      <c r="F148" s="70"/>
      <c r="G148" s="70"/>
      <c r="H148" s="70">
        <f>+H149+H150</f>
        <v>1264510.98</v>
      </c>
      <c r="I148" s="70">
        <f>+I149+I150</f>
        <v>0</v>
      </c>
      <c r="J148" s="70"/>
      <c r="K148" s="70"/>
      <c r="L148" s="70"/>
      <c r="M148" s="70"/>
      <c r="N148" s="70"/>
      <c r="O148" s="70"/>
      <c r="P148" s="70"/>
      <c r="Q148" s="74">
        <f>SUM(E148:P148)</f>
        <v>1264510.98</v>
      </c>
      <c r="R148" s="75">
        <f>+C149/Q148</f>
        <v>0.9489834560392667</v>
      </c>
      <c r="S148" s="74">
        <f t="shared" si="72"/>
        <v>135489.02000000002</v>
      </c>
      <c r="T148" s="75">
        <f t="shared" si="73"/>
        <v>0.09677787142857144</v>
      </c>
      <c r="U148" s="74">
        <f>+U149</f>
        <v>76929.6000000001</v>
      </c>
      <c r="V148" s="76">
        <f>+U148/C148</f>
        <v>0.05494971428571435</v>
      </c>
      <c r="AC148" s="13"/>
    </row>
    <row r="149" spans="1:29" s="15" customFormat="1" ht="15">
      <c r="A149" s="146" t="s">
        <v>337</v>
      </c>
      <c r="B149" s="23" t="s">
        <v>335</v>
      </c>
      <c r="C149" s="36">
        <v>1200000</v>
      </c>
      <c r="D149" s="41"/>
      <c r="E149" s="41">
        <v>0</v>
      </c>
      <c r="F149" s="40">
        <v>0</v>
      </c>
      <c r="G149" s="40">
        <v>0</v>
      </c>
      <c r="H149" s="40">
        <v>1123070.4</v>
      </c>
      <c r="I149" s="40">
        <v>0</v>
      </c>
      <c r="J149" s="40"/>
      <c r="K149" s="40"/>
      <c r="L149" s="40"/>
      <c r="M149" s="40"/>
      <c r="N149" s="40"/>
      <c r="O149" s="40"/>
      <c r="P149" s="40"/>
      <c r="Q149" s="133">
        <f>SUM(E149:P149)</f>
        <v>1123070.4</v>
      </c>
      <c r="R149" s="134">
        <f>+Q149/C149</f>
        <v>0.935892</v>
      </c>
      <c r="S149" s="133">
        <f t="shared" si="72"/>
        <v>76929.6000000001</v>
      </c>
      <c r="T149" s="134">
        <f t="shared" si="73"/>
        <v>0.06410800000000008</v>
      </c>
      <c r="U149" s="133">
        <f>+C149-Q149</f>
        <v>76929.6000000001</v>
      </c>
      <c r="V149" s="134">
        <f>+U149/C149</f>
        <v>0.06410800000000008</v>
      </c>
      <c r="AC149" s="13"/>
    </row>
    <row r="150" spans="1:29" s="15" customFormat="1" ht="30">
      <c r="A150" s="145" t="s">
        <v>339</v>
      </c>
      <c r="B150" s="31" t="s">
        <v>338</v>
      </c>
      <c r="C150" s="36">
        <v>200000</v>
      </c>
      <c r="D150" s="41"/>
      <c r="E150" s="41">
        <v>0</v>
      </c>
      <c r="F150" s="40">
        <v>0</v>
      </c>
      <c r="G150" s="40">
        <v>0</v>
      </c>
      <c r="H150" s="40">
        <v>141440.58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0">
        <v>0</v>
      </c>
      <c r="O150" s="40">
        <v>0</v>
      </c>
      <c r="P150" s="40">
        <v>0</v>
      </c>
      <c r="Q150" s="133">
        <f>SUM(E150:P150)</f>
        <v>141440.58</v>
      </c>
      <c r="R150" s="134">
        <f>+Q150/C150</f>
        <v>0.7072029</v>
      </c>
      <c r="S150" s="133">
        <f t="shared" si="72"/>
        <v>58559.42000000001</v>
      </c>
      <c r="T150" s="134">
        <f t="shared" si="73"/>
        <v>0.2927971000000001</v>
      </c>
      <c r="U150" s="133">
        <f>+C150-Q150</f>
        <v>58559.42000000001</v>
      </c>
      <c r="V150" s="134">
        <f>+U150/C150</f>
        <v>0.2927971000000001</v>
      </c>
      <c r="AC150" s="13"/>
    </row>
    <row r="151" spans="1:29" s="15" customFormat="1" ht="15">
      <c r="A151" s="20" t="s">
        <v>281</v>
      </c>
      <c r="B151" s="20" t="s">
        <v>282</v>
      </c>
      <c r="C151" s="70">
        <f>+C152</f>
        <v>150000</v>
      </c>
      <c r="D151" s="70">
        <f>+D152</f>
        <v>0</v>
      </c>
      <c r="E151" s="70">
        <f aca="true" t="shared" si="74" ref="E151:P151">+E152</f>
        <v>97066.25</v>
      </c>
      <c r="F151" s="70">
        <v>0</v>
      </c>
      <c r="G151" s="70">
        <f t="shared" si="74"/>
        <v>0</v>
      </c>
      <c r="H151" s="70">
        <f>+H152</f>
        <v>0</v>
      </c>
      <c r="I151" s="70">
        <f t="shared" si="74"/>
        <v>0</v>
      </c>
      <c r="J151" s="70">
        <f t="shared" si="74"/>
        <v>0</v>
      </c>
      <c r="K151" s="70">
        <f t="shared" si="74"/>
        <v>0</v>
      </c>
      <c r="L151" s="70">
        <f t="shared" si="74"/>
        <v>0</v>
      </c>
      <c r="M151" s="70">
        <f t="shared" si="74"/>
        <v>0</v>
      </c>
      <c r="N151" s="70">
        <f t="shared" si="74"/>
        <v>0</v>
      </c>
      <c r="O151" s="70">
        <f t="shared" si="74"/>
        <v>0</v>
      </c>
      <c r="P151" s="70">
        <f t="shared" si="74"/>
        <v>0</v>
      </c>
      <c r="Q151" s="74">
        <f>SUM(E151:P151)</f>
        <v>97066.25</v>
      </c>
      <c r="R151" s="75">
        <f>+Q151/C151</f>
        <v>0.6471083333333333</v>
      </c>
      <c r="S151" s="74">
        <f t="shared" si="72"/>
        <v>52933.75</v>
      </c>
      <c r="T151" s="75">
        <f t="shared" si="73"/>
        <v>0.35289166666666666</v>
      </c>
      <c r="U151" s="74">
        <f>+U152</f>
        <v>52933.75</v>
      </c>
      <c r="V151" s="76">
        <f>+U151/C151</f>
        <v>0.35289166666666666</v>
      </c>
      <c r="AC151" s="13"/>
    </row>
    <row r="152" spans="1:29" s="15" customFormat="1" ht="15">
      <c r="A152" s="146" t="s">
        <v>183</v>
      </c>
      <c r="B152" s="23" t="s">
        <v>184</v>
      </c>
      <c r="C152" s="36">
        <v>150000</v>
      </c>
      <c r="D152" s="41"/>
      <c r="E152" s="41">
        <v>97066.25</v>
      </c>
      <c r="F152" s="40">
        <v>0</v>
      </c>
      <c r="G152" s="40">
        <v>0</v>
      </c>
      <c r="H152" s="40">
        <v>0</v>
      </c>
      <c r="I152" s="40">
        <v>0</v>
      </c>
      <c r="J152" s="40">
        <v>0</v>
      </c>
      <c r="K152" s="40">
        <v>0</v>
      </c>
      <c r="L152" s="40">
        <v>0</v>
      </c>
      <c r="M152" s="40">
        <v>0</v>
      </c>
      <c r="N152" s="40">
        <v>0</v>
      </c>
      <c r="O152" s="40">
        <v>0</v>
      </c>
      <c r="P152" s="40">
        <v>0</v>
      </c>
      <c r="Q152" s="133">
        <f t="shared" si="62"/>
        <v>97066.25</v>
      </c>
      <c r="R152" s="134">
        <f t="shared" si="68"/>
        <v>0.6471083333333333</v>
      </c>
      <c r="S152" s="133">
        <f t="shared" si="65"/>
        <v>52933.75</v>
      </c>
      <c r="T152" s="134">
        <f t="shared" si="66"/>
        <v>0.35289166666666666</v>
      </c>
      <c r="U152" s="133">
        <f>+C152-Q152</f>
        <v>52933.75</v>
      </c>
      <c r="V152" s="134">
        <f t="shared" si="69"/>
        <v>0.35289166666666666</v>
      </c>
      <c r="AC152" s="13"/>
    </row>
    <row r="153" spans="1:29" s="15" customFormat="1" ht="15">
      <c r="A153" s="20" t="s">
        <v>145</v>
      </c>
      <c r="B153" s="20" t="s">
        <v>165</v>
      </c>
      <c r="C153" s="70">
        <f>+C154</f>
        <v>2402000</v>
      </c>
      <c r="D153" s="70">
        <f>+D154</f>
        <v>0</v>
      </c>
      <c r="E153" s="70">
        <f aca="true" t="shared" si="75" ref="E153:P153">+E154</f>
        <v>0</v>
      </c>
      <c r="F153" s="70">
        <f t="shared" si="75"/>
        <v>0</v>
      </c>
      <c r="G153" s="70">
        <f t="shared" si="75"/>
        <v>1738696.91</v>
      </c>
      <c r="H153" s="70">
        <f>+H154</f>
        <v>0</v>
      </c>
      <c r="I153" s="70">
        <f t="shared" si="75"/>
        <v>0</v>
      </c>
      <c r="J153" s="70">
        <f t="shared" si="75"/>
        <v>0</v>
      </c>
      <c r="K153" s="70">
        <f t="shared" si="75"/>
        <v>0</v>
      </c>
      <c r="L153" s="70">
        <f t="shared" si="75"/>
        <v>0</v>
      </c>
      <c r="M153" s="70">
        <f t="shared" si="75"/>
        <v>0</v>
      </c>
      <c r="N153" s="70">
        <f t="shared" si="75"/>
        <v>0</v>
      </c>
      <c r="O153" s="70">
        <f t="shared" si="75"/>
        <v>0</v>
      </c>
      <c r="P153" s="70">
        <f t="shared" si="75"/>
        <v>0</v>
      </c>
      <c r="Q153" s="74">
        <f>SUM(E153:P153)</f>
        <v>1738696.91</v>
      </c>
      <c r="R153" s="75">
        <f t="shared" si="68"/>
        <v>0.723853834304746</v>
      </c>
      <c r="S153" s="74">
        <f t="shared" si="65"/>
        <v>663303.0900000001</v>
      </c>
      <c r="T153" s="75">
        <f t="shared" si="66"/>
        <v>0.27614616569525396</v>
      </c>
      <c r="U153" s="74">
        <f>+U154</f>
        <v>663303.0900000001</v>
      </c>
      <c r="V153" s="76">
        <f t="shared" si="69"/>
        <v>0.27614616569525396</v>
      </c>
      <c r="AC153" s="13"/>
    </row>
    <row r="154" spans="1:29" s="15" customFormat="1" ht="15">
      <c r="A154" s="146" t="s">
        <v>131</v>
      </c>
      <c r="B154" s="23" t="s">
        <v>132</v>
      </c>
      <c r="C154" s="36">
        <f>15000000-2710000-250000-3850000-80000-200000-1400000-108000-2190000-550000-300000-960000</f>
        <v>2402000</v>
      </c>
      <c r="D154" s="41"/>
      <c r="E154" s="41">
        <v>0</v>
      </c>
      <c r="F154" s="40">
        <v>0</v>
      </c>
      <c r="G154" s="40">
        <v>1738696.91</v>
      </c>
      <c r="H154" s="40">
        <v>0</v>
      </c>
      <c r="I154" s="40">
        <v>0</v>
      </c>
      <c r="J154" s="40">
        <v>0</v>
      </c>
      <c r="K154" s="40">
        <v>0</v>
      </c>
      <c r="L154" s="40">
        <v>0</v>
      </c>
      <c r="M154" s="40">
        <v>0</v>
      </c>
      <c r="N154" s="40">
        <v>0</v>
      </c>
      <c r="O154" s="40">
        <v>0</v>
      </c>
      <c r="P154" s="40">
        <v>0</v>
      </c>
      <c r="Q154" s="133">
        <f t="shared" si="62"/>
        <v>1738696.91</v>
      </c>
      <c r="R154" s="134">
        <f t="shared" si="68"/>
        <v>0.723853834304746</v>
      </c>
      <c r="S154" s="133">
        <f t="shared" si="65"/>
        <v>663303.0900000001</v>
      </c>
      <c r="T154" s="134">
        <f t="shared" si="66"/>
        <v>0.27614616569525396</v>
      </c>
      <c r="U154" s="133">
        <f>+C154-Q154</f>
        <v>663303.0900000001</v>
      </c>
      <c r="V154" s="134">
        <f t="shared" si="69"/>
        <v>0.27614616569525396</v>
      </c>
      <c r="AC154" s="13"/>
    </row>
    <row r="155" spans="1:29" s="15" customFormat="1" ht="15">
      <c r="A155" s="20" t="s">
        <v>163</v>
      </c>
      <c r="B155" s="8" t="s">
        <v>164</v>
      </c>
      <c r="C155" s="70">
        <f>+C156</f>
        <v>2004000</v>
      </c>
      <c r="D155" s="70">
        <f>+D156</f>
        <v>0</v>
      </c>
      <c r="E155" s="70">
        <f aca="true" t="shared" si="76" ref="E155:P155">+E156</f>
        <v>160000</v>
      </c>
      <c r="F155" s="70">
        <f t="shared" si="76"/>
        <v>160000</v>
      </c>
      <c r="G155" s="70">
        <f t="shared" si="76"/>
        <v>160000</v>
      </c>
      <c r="H155" s="70">
        <f t="shared" si="76"/>
        <v>160000</v>
      </c>
      <c r="I155" s="70">
        <f t="shared" si="76"/>
        <v>160000</v>
      </c>
      <c r="J155" s="70">
        <f t="shared" si="76"/>
        <v>0</v>
      </c>
      <c r="K155" s="70">
        <f t="shared" si="76"/>
        <v>0</v>
      </c>
      <c r="L155" s="70">
        <f t="shared" si="76"/>
        <v>0</v>
      </c>
      <c r="M155" s="70">
        <f t="shared" si="76"/>
        <v>0</v>
      </c>
      <c r="N155" s="70">
        <f t="shared" si="76"/>
        <v>0</v>
      </c>
      <c r="O155" s="70">
        <f t="shared" si="76"/>
        <v>0</v>
      </c>
      <c r="P155" s="70">
        <f t="shared" si="76"/>
        <v>0</v>
      </c>
      <c r="Q155" s="74">
        <f>SUM(E155:P155)</f>
        <v>800000</v>
      </c>
      <c r="R155" s="75">
        <f t="shared" si="68"/>
        <v>0.3992015968063872</v>
      </c>
      <c r="S155" s="74">
        <f t="shared" si="65"/>
        <v>1204000</v>
      </c>
      <c r="T155" s="75">
        <f t="shared" si="66"/>
        <v>0.6007984031936128</v>
      </c>
      <c r="U155" s="74">
        <f>+U156</f>
        <v>1204000</v>
      </c>
      <c r="V155" s="76">
        <f t="shared" si="69"/>
        <v>0.6007984031936128</v>
      </c>
      <c r="AC155" s="13"/>
    </row>
    <row r="156" spans="1:29" s="15" customFormat="1" ht="15">
      <c r="A156" s="146" t="s">
        <v>167</v>
      </c>
      <c r="B156" s="23" t="s">
        <v>166</v>
      </c>
      <c r="C156" s="36">
        <v>2004000</v>
      </c>
      <c r="D156" s="41"/>
      <c r="E156" s="41">
        <v>160000</v>
      </c>
      <c r="F156" s="40">
        <v>160000</v>
      </c>
      <c r="G156" s="40">
        <v>160000</v>
      </c>
      <c r="H156" s="40">
        <v>160000</v>
      </c>
      <c r="I156" s="40">
        <v>160000</v>
      </c>
      <c r="J156" s="40">
        <v>0</v>
      </c>
      <c r="K156" s="40">
        <v>0</v>
      </c>
      <c r="L156" s="40">
        <v>0</v>
      </c>
      <c r="M156" s="40">
        <v>0</v>
      </c>
      <c r="N156" s="40">
        <v>0</v>
      </c>
      <c r="O156" s="40">
        <v>0</v>
      </c>
      <c r="P156" s="40">
        <v>0</v>
      </c>
      <c r="Q156" s="133">
        <f>SUM(E156:P156)</f>
        <v>800000</v>
      </c>
      <c r="R156" s="134">
        <f t="shared" si="68"/>
        <v>0.3992015968063872</v>
      </c>
      <c r="S156" s="133">
        <f t="shared" si="65"/>
        <v>1204000</v>
      </c>
      <c r="T156" s="134">
        <f t="shared" si="66"/>
        <v>0.6007984031936128</v>
      </c>
      <c r="U156" s="133">
        <f>+C156-Q156</f>
        <v>1204000</v>
      </c>
      <c r="V156" s="134">
        <f t="shared" si="69"/>
        <v>0.6007984031936128</v>
      </c>
      <c r="AC156" s="13"/>
    </row>
    <row r="157" spans="1:29" s="16" customFormat="1" ht="15.75">
      <c r="A157" s="154" t="s">
        <v>360</v>
      </c>
      <c r="B157" s="155"/>
      <c r="C157" s="77">
        <f>+C155+C153+C151+C143+C141+C136+C121+C109+C97+C93+C89+C76+C66+C61+C54+C49+C47+C43+C40+C37+C34+C27+C15+C86+C81</f>
        <v>1490751720</v>
      </c>
      <c r="D157" s="77">
        <f>+D155+D153+D151+D143+D141+D136+D121+D109+D97+D93+D89+D86+D81+D76+D66+D61+D54+D49+D47+D43+D40+D37+D34+D27+D15</f>
        <v>30946799.98</v>
      </c>
      <c r="E157" s="77">
        <f>+E155+E153+E151+E143+E141+E136+E121+E109+E97+E93+E89+E76+E66+E61+E54+E49+E47+E43+E37+E27+E15+E40+E34</f>
        <v>125368073.99</v>
      </c>
      <c r="F157" s="77">
        <f>+F155+F153+F151+F143+F141+F136+F121+F109+F97+F93+F89+F86+F81+F76+F66+F61+F54+F49+F47+F43+F40+F37+F34+F27+F15</f>
        <v>126740659.56</v>
      </c>
      <c r="G157" s="77">
        <f>+G155+G153+G151+G143+G141+G136+G121+G109+G97+G93+G89+G86+G81+G76+G66+G61+G54+G49+G47+G43+G40+G37+G34+G27+G15</f>
        <v>128631041.09</v>
      </c>
      <c r="H157" s="77">
        <f>+H155+H153+H151+H148+H143+H141+H136+H121+H109+H97+H93+H89+H86+H81+H76+H66+H61+H54+H49+H47+H43+H40+H37+H34+H27+H15</f>
        <v>121692499.94</v>
      </c>
      <c r="I157" s="77">
        <f>+I155+I153+I151+I148+I145+I143+I141+I136+I121+I109+I97+I93+I89+I86+I81+I76+I66+I61+I54+I49+I47+I43+I40+I37+I34+I27+I15</f>
        <v>188939117.69</v>
      </c>
      <c r="J157" s="77">
        <f aca="true" t="shared" si="77" ref="J157:P157">+J155+J153+J151+J143+J141+J136+J121+J109+J97+J93+J89+J76+J66+J61+J54+J49+J47+J43+J37+J27+J15+J40+J34</f>
        <v>0</v>
      </c>
      <c r="K157" s="77">
        <f t="shared" si="77"/>
        <v>0</v>
      </c>
      <c r="L157" s="77">
        <f t="shared" si="77"/>
        <v>0</v>
      </c>
      <c r="M157" s="77">
        <f t="shared" si="77"/>
        <v>0</v>
      </c>
      <c r="N157" s="77">
        <f t="shared" si="77"/>
        <v>0</v>
      </c>
      <c r="O157" s="77">
        <f t="shared" si="77"/>
        <v>0</v>
      </c>
      <c r="P157" s="77">
        <f t="shared" si="77"/>
        <v>0</v>
      </c>
      <c r="Q157" s="78">
        <f>SUM(E157:O157)</f>
        <v>691371392.27</v>
      </c>
      <c r="R157" s="79">
        <f t="shared" si="68"/>
        <v>0.4637736673347591</v>
      </c>
      <c r="S157" s="80" t="e">
        <f>+S136+#REF!+S121+S109+S97+#REF!+#REF!+#REF!+S89+S66+S61+S49+S47+S43+S40+S37+S34+S27+S15+S76</f>
        <v>#REF!</v>
      </c>
      <c r="T157" s="79" t="e">
        <f t="shared" si="66"/>
        <v>#REF!</v>
      </c>
      <c r="U157" s="125">
        <f>+U155+U153+U151+U143+U141+U136+U121+U109+U97+U93+U89+U76+U66+U61+U54+U49+U47+U43+U40+U37+U34+U27+U15</f>
        <v>884709350.8900001</v>
      </c>
      <c r="V157" s="81">
        <f t="shared" si="69"/>
        <v>0.5934652558307967</v>
      </c>
      <c r="W157" s="137"/>
      <c r="X157" s="137"/>
      <c r="AC157" s="148"/>
    </row>
    <row r="158" spans="1:22" ht="15">
      <c r="A158" s="13"/>
      <c r="B158" s="27"/>
      <c r="C158" s="63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82"/>
      <c r="R158" s="83"/>
      <c r="S158" s="82"/>
      <c r="T158" s="83"/>
      <c r="U158" s="82"/>
      <c r="V158" s="83"/>
    </row>
    <row r="159" spans="3:22" s="17" customFormat="1" ht="15">
      <c r="C159" s="64"/>
      <c r="E159" s="19"/>
      <c r="F159" s="19"/>
      <c r="G159" s="19"/>
      <c r="I159" s="19"/>
      <c r="J159" s="19"/>
      <c r="K159" s="19"/>
      <c r="L159" s="19"/>
      <c r="M159" s="19"/>
      <c r="N159" s="19"/>
      <c r="P159" s="19"/>
      <c r="Q159" s="19"/>
      <c r="R159" s="19"/>
      <c r="S159" s="19"/>
      <c r="T159" s="126"/>
      <c r="U159" s="19"/>
      <c r="V159" s="19"/>
    </row>
    <row r="160" spans="3:22" s="17" customFormat="1" ht="15">
      <c r="C160" s="64"/>
      <c r="E160" s="19"/>
      <c r="F160" s="19"/>
      <c r="G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26"/>
      <c r="U160" s="19"/>
      <c r="V160" s="19"/>
    </row>
    <row r="161" spans="3:22" s="17" customFormat="1" ht="15">
      <c r="C161" s="64"/>
      <c r="D161" s="64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26"/>
      <c r="U161" s="19"/>
      <c r="V161" s="19"/>
    </row>
    <row r="162" spans="1:22" ht="15">
      <c r="A162" s="17"/>
      <c r="B162" s="17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18"/>
      <c r="U162" s="21"/>
      <c r="V162" s="21"/>
    </row>
    <row r="163" spans="1:22" ht="15">
      <c r="A163" s="17"/>
      <c r="B163" s="17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18"/>
      <c r="U163" s="21"/>
      <c r="V163" s="21"/>
    </row>
    <row r="164" spans="1:22" ht="20.25">
      <c r="A164" s="159"/>
      <c r="B164" s="159"/>
      <c r="C164" s="159"/>
      <c r="D164" s="159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</row>
    <row r="165" spans="1:22" ht="20.25">
      <c r="A165" s="159" t="s">
        <v>322</v>
      </c>
      <c r="B165" s="159"/>
      <c r="C165" s="159"/>
      <c r="D165" s="159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</row>
    <row r="166" spans="3:5" s="17" customFormat="1" ht="15">
      <c r="C166" s="64"/>
      <c r="E166" s="19"/>
    </row>
    <row r="167" spans="3:8" s="17" customFormat="1" ht="15">
      <c r="C167" s="64"/>
      <c r="E167" s="19"/>
      <c r="H167" s="19"/>
    </row>
    <row r="168" spans="3:8" s="17" customFormat="1" ht="15">
      <c r="C168" s="64"/>
      <c r="H168" s="19"/>
    </row>
    <row r="169" s="17" customFormat="1" ht="15">
      <c r="C169" s="64"/>
    </row>
    <row r="170" s="17" customFormat="1" ht="15">
      <c r="C170" s="64"/>
    </row>
    <row r="171" spans="3:22" ht="15">
      <c r="C171" s="6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U171" s="4"/>
      <c r="V171" s="4"/>
    </row>
    <row r="172" spans="3:22" ht="15">
      <c r="C172" s="6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U172" s="4"/>
      <c r="V172" s="4"/>
    </row>
    <row r="173" spans="3:22" ht="15">
      <c r="C173" s="6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U173" s="4"/>
      <c r="V173" s="4"/>
    </row>
  </sheetData>
  <sheetProtection/>
  <mergeCells count="12">
    <mergeCell ref="B3:B4"/>
    <mergeCell ref="A5:V5"/>
    <mergeCell ref="A6:V6"/>
    <mergeCell ref="A7:V7"/>
    <mergeCell ref="A8:V8"/>
    <mergeCell ref="A13:A14"/>
    <mergeCell ref="A9:V9"/>
    <mergeCell ref="A157:B157"/>
    <mergeCell ref="E13:P13"/>
    <mergeCell ref="A165:V165"/>
    <mergeCell ref="B13:B14"/>
    <mergeCell ref="A164:V164"/>
  </mergeCells>
  <printOptions/>
  <pageMargins left="0.17" right="0.17" top="0.26" bottom="0.49" header="0.23" footer="0.17"/>
  <pageSetup horizontalDpi="600" verticalDpi="600" orientation="landscape" paperSize="153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0"/>
  <sheetViews>
    <sheetView zoomScalePageLayoutView="0" workbookViewId="0" topLeftCell="A99">
      <selection activeCell="F120" sqref="F120"/>
    </sheetView>
  </sheetViews>
  <sheetFormatPr defaultColWidth="11.421875" defaultRowHeight="15"/>
  <cols>
    <col min="1" max="1" width="9.28125" style="0" bestFit="1" customWidth="1"/>
    <col min="2" max="2" width="67.00390625" style="0" customWidth="1"/>
    <col min="3" max="3" width="16.8515625" style="89" customWidth="1"/>
    <col min="4" max="4" width="17.57421875" style="113" customWidth="1"/>
    <col min="5" max="5" width="15.140625" style="119" bestFit="1" customWidth="1"/>
    <col min="6" max="7" width="15.140625" style="119" customWidth="1"/>
    <col min="8" max="8" width="13.421875" style="0" bestFit="1" customWidth="1"/>
  </cols>
  <sheetData>
    <row r="1" spans="1:36" ht="15">
      <c r="A1" s="4"/>
      <c r="B1" s="4"/>
      <c r="C1" s="61"/>
      <c r="D1" s="64"/>
      <c r="E1" s="64"/>
      <c r="F1" s="64"/>
      <c r="G1" s="64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4"/>
      <c r="AH1" s="4"/>
      <c r="AI1" s="17"/>
      <c r="AJ1" s="17"/>
    </row>
    <row r="2" spans="1:36" ht="15">
      <c r="A2" s="4"/>
      <c r="B2" s="4"/>
      <c r="C2" s="61"/>
      <c r="D2" s="64"/>
      <c r="E2" s="64"/>
      <c r="F2" s="64"/>
      <c r="G2" s="64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4"/>
      <c r="AH2" s="4"/>
      <c r="AI2" s="17"/>
      <c r="AJ2" s="17"/>
    </row>
    <row r="3" spans="1:36" ht="15">
      <c r="A3" s="2"/>
      <c r="B3" s="162"/>
      <c r="C3" s="62"/>
      <c r="D3" s="110"/>
      <c r="E3" s="110"/>
      <c r="F3" s="110"/>
      <c r="G3" s="11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3"/>
      <c r="AH3" s="3"/>
      <c r="AI3" s="2"/>
      <c r="AJ3" s="2"/>
    </row>
    <row r="4" spans="1:36" ht="15">
      <c r="A4" s="2"/>
      <c r="B4" s="162"/>
      <c r="C4" s="62"/>
      <c r="D4" s="110"/>
      <c r="E4" s="110"/>
      <c r="F4" s="110"/>
      <c r="G4" s="11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3"/>
      <c r="AH4" s="3"/>
      <c r="AI4" s="2"/>
      <c r="AJ4" s="2"/>
    </row>
    <row r="5" spans="1:36" ht="18.75">
      <c r="A5" s="153" t="s">
        <v>0</v>
      </c>
      <c r="B5" s="153"/>
      <c r="C5" s="153"/>
      <c r="D5" s="111"/>
      <c r="E5" s="111"/>
      <c r="F5" s="111"/>
      <c r="G5" s="111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</row>
    <row r="6" spans="1:36" ht="21">
      <c r="A6" s="163" t="s">
        <v>1</v>
      </c>
      <c r="B6" s="163"/>
      <c r="C6" s="163"/>
      <c r="D6" s="112"/>
      <c r="E6" s="112"/>
      <c r="F6" s="112"/>
      <c r="G6" s="112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</row>
    <row r="7" spans="1:36" ht="18.75">
      <c r="A7" s="153" t="s">
        <v>2</v>
      </c>
      <c r="B7" s="153"/>
      <c r="C7" s="153"/>
      <c r="D7" s="111"/>
      <c r="E7" s="111"/>
      <c r="F7" s="111"/>
      <c r="G7" s="111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</row>
    <row r="8" spans="1:36" ht="21">
      <c r="A8" s="163" t="s">
        <v>3</v>
      </c>
      <c r="B8" s="163"/>
      <c r="C8" s="163"/>
      <c r="D8" s="112"/>
      <c r="E8" s="112"/>
      <c r="F8" s="112"/>
      <c r="G8" s="112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</row>
    <row r="9" spans="1:36" ht="18.75">
      <c r="A9" s="153" t="s">
        <v>196</v>
      </c>
      <c r="B9" s="153"/>
      <c r="C9" s="153"/>
      <c r="D9" s="111"/>
      <c r="E9" s="111"/>
      <c r="F9" s="111"/>
      <c r="G9" s="111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</row>
    <row r="10" ht="15.75" thickBot="1"/>
    <row r="11" spans="1:4" ht="16.5" thickBot="1">
      <c r="A11" s="165" t="s">
        <v>209</v>
      </c>
      <c r="B11" s="166"/>
      <c r="C11" s="167"/>
      <c r="D11" s="114"/>
    </row>
    <row r="12" spans="1:3" ht="15.75">
      <c r="A12" s="87" t="s">
        <v>197</v>
      </c>
      <c r="B12" s="87" t="s">
        <v>198</v>
      </c>
      <c r="C12" s="88" t="s">
        <v>199</v>
      </c>
    </row>
    <row r="13" spans="1:4" ht="15">
      <c r="A13" s="93" t="s">
        <v>187</v>
      </c>
      <c r="B13" s="93" t="s">
        <v>200</v>
      </c>
      <c r="C13" s="95">
        <v>68775000</v>
      </c>
      <c r="D13" s="115" t="s">
        <v>10</v>
      </c>
    </row>
    <row r="14" spans="1:4" ht="15.75" thickBot="1">
      <c r="A14" s="93"/>
      <c r="B14" s="102" t="s">
        <v>229</v>
      </c>
      <c r="C14" s="103">
        <f>SUM(C13)</f>
        <v>68775000</v>
      </c>
      <c r="D14" s="115"/>
    </row>
    <row r="15" spans="1:4" ht="15.75" thickTop="1">
      <c r="A15" s="93"/>
      <c r="B15" s="102"/>
      <c r="C15" s="104"/>
      <c r="D15" s="115"/>
    </row>
    <row r="16" spans="1:4" ht="15">
      <c r="A16" s="93"/>
      <c r="B16" s="102"/>
      <c r="C16" s="104"/>
      <c r="D16" s="115"/>
    </row>
    <row r="17" spans="1:4" ht="15.75">
      <c r="A17" s="164" t="s">
        <v>210</v>
      </c>
      <c r="B17" s="164"/>
      <c r="C17" s="164"/>
      <c r="D17" s="164"/>
    </row>
    <row r="18" spans="1:4" ht="15.75">
      <c r="A18" s="105" t="s">
        <v>197</v>
      </c>
      <c r="B18" s="105" t="s">
        <v>198</v>
      </c>
      <c r="C18" s="106" t="s">
        <v>199</v>
      </c>
      <c r="D18" s="115"/>
    </row>
    <row r="19" spans="1:4" ht="15">
      <c r="A19" s="93" t="s">
        <v>97</v>
      </c>
      <c r="B19" s="93" t="s">
        <v>201</v>
      </c>
      <c r="C19" s="94">
        <v>2682842.32</v>
      </c>
      <c r="D19" s="115" t="s">
        <v>11</v>
      </c>
    </row>
    <row r="20" spans="1:4" ht="15.75" thickBot="1">
      <c r="A20" s="93"/>
      <c r="B20" s="102" t="s">
        <v>229</v>
      </c>
      <c r="C20" s="103">
        <f>SUM(C19)</f>
        <v>2682842.32</v>
      </c>
      <c r="D20" s="115"/>
    </row>
    <row r="21" spans="1:4" ht="15.75" thickTop="1">
      <c r="A21" s="93"/>
      <c r="B21" s="93"/>
      <c r="C21" s="94"/>
      <c r="D21" s="115"/>
    </row>
    <row r="22" spans="1:4" ht="15.75" thickBot="1">
      <c r="A22" s="93"/>
      <c r="B22" s="93"/>
      <c r="C22" s="94"/>
      <c r="D22" s="115"/>
    </row>
    <row r="23" spans="1:4" ht="16.5" thickBot="1">
      <c r="A23" s="168" t="s">
        <v>211</v>
      </c>
      <c r="B23" s="169"/>
      <c r="C23" s="170"/>
      <c r="D23" s="116"/>
    </row>
    <row r="24" spans="1:4" ht="15.75">
      <c r="A24" s="105" t="s">
        <v>197</v>
      </c>
      <c r="B24" s="105" t="s">
        <v>198</v>
      </c>
      <c r="C24" s="106" t="s">
        <v>199</v>
      </c>
      <c r="D24" s="115"/>
    </row>
    <row r="25" spans="1:4" ht="15">
      <c r="A25" s="93" t="s">
        <v>104</v>
      </c>
      <c r="B25" s="93" t="s">
        <v>202</v>
      </c>
      <c r="C25" s="94">
        <v>252310</v>
      </c>
      <c r="D25" s="115" t="s">
        <v>203</v>
      </c>
    </row>
    <row r="26" spans="1:4" ht="15">
      <c r="A26" s="93" t="s">
        <v>84</v>
      </c>
      <c r="B26" s="93" t="s">
        <v>204</v>
      </c>
      <c r="C26" s="94">
        <v>185000</v>
      </c>
      <c r="D26" s="115" t="s">
        <v>12</v>
      </c>
    </row>
    <row r="27" spans="1:4" ht="15">
      <c r="A27" s="93" t="s">
        <v>155</v>
      </c>
      <c r="B27" s="93" t="s">
        <v>205</v>
      </c>
      <c r="C27" s="94">
        <v>28000</v>
      </c>
      <c r="D27" s="115" t="s">
        <v>12</v>
      </c>
    </row>
    <row r="28" spans="1:4" ht="15">
      <c r="A28" s="93" t="s">
        <v>206</v>
      </c>
      <c r="B28" s="93" t="s">
        <v>207</v>
      </c>
      <c r="C28" s="94">
        <v>2934070</v>
      </c>
      <c r="D28" s="115" t="s">
        <v>12</v>
      </c>
    </row>
    <row r="29" spans="1:4" ht="15.75" thickBot="1">
      <c r="A29" s="93"/>
      <c r="B29" s="102" t="s">
        <v>229</v>
      </c>
      <c r="C29" s="103">
        <f>SUM(C25:C28)</f>
        <v>3399380</v>
      </c>
      <c r="D29" s="115"/>
    </row>
    <row r="30" spans="1:4" ht="15.75" thickTop="1">
      <c r="A30" s="93"/>
      <c r="B30" s="102"/>
      <c r="C30" s="104"/>
      <c r="D30" s="115"/>
    </row>
    <row r="31" spans="1:4" ht="15.75" thickBot="1">
      <c r="A31" s="93"/>
      <c r="B31" s="102"/>
      <c r="C31" s="104"/>
      <c r="D31" s="115"/>
    </row>
    <row r="32" spans="1:4" ht="16.5" thickBot="1">
      <c r="A32" s="168" t="s">
        <v>212</v>
      </c>
      <c r="B32" s="169"/>
      <c r="C32" s="170"/>
      <c r="D32" s="116"/>
    </row>
    <row r="33" spans="1:4" ht="15.75">
      <c r="A33" s="105" t="s">
        <v>197</v>
      </c>
      <c r="B33" s="105" t="s">
        <v>198</v>
      </c>
      <c r="C33" s="106" t="s">
        <v>199</v>
      </c>
      <c r="D33" s="115"/>
    </row>
    <row r="34" spans="1:4" ht="15">
      <c r="A34" s="93" t="s">
        <v>81</v>
      </c>
      <c r="B34" s="93" t="s">
        <v>213</v>
      </c>
      <c r="C34" s="94">
        <v>7110500</v>
      </c>
      <c r="D34" s="115" t="s">
        <v>139</v>
      </c>
    </row>
    <row r="35" spans="1:4" ht="15">
      <c r="A35" s="93" t="s">
        <v>83</v>
      </c>
      <c r="B35" s="93" t="s">
        <v>208</v>
      </c>
      <c r="C35" s="94">
        <v>879590</v>
      </c>
      <c r="D35" s="115" t="s">
        <v>139</v>
      </c>
    </row>
    <row r="36" spans="1:4" ht="15">
      <c r="A36" s="93" t="s">
        <v>84</v>
      </c>
      <c r="B36" s="93" t="s">
        <v>204</v>
      </c>
      <c r="C36" s="94">
        <v>79160</v>
      </c>
      <c r="D36" s="115" t="s">
        <v>139</v>
      </c>
    </row>
    <row r="37" spans="1:4" ht="15">
      <c r="A37" s="93" t="s">
        <v>155</v>
      </c>
      <c r="B37" s="93" t="s">
        <v>205</v>
      </c>
      <c r="C37" s="94">
        <v>13389</v>
      </c>
      <c r="D37" s="115" t="s">
        <v>139</v>
      </c>
    </row>
    <row r="38" spans="1:4" ht="15">
      <c r="A38" s="93" t="s">
        <v>195</v>
      </c>
      <c r="B38" s="93" t="s">
        <v>214</v>
      </c>
      <c r="C38" s="94">
        <v>4995000</v>
      </c>
      <c r="D38" s="115" t="s">
        <v>216</v>
      </c>
    </row>
    <row r="39" spans="1:4" ht="15">
      <c r="A39" s="93" t="s">
        <v>83</v>
      </c>
      <c r="B39" s="93" t="s">
        <v>208</v>
      </c>
      <c r="C39" s="94">
        <v>801900</v>
      </c>
      <c r="D39" s="115" t="s">
        <v>216</v>
      </c>
    </row>
    <row r="40" spans="1:4" ht="15">
      <c r="A40" s="93" t="s">
        <v>177</v>
      </c>
      <c r="B40" s="93" t="s">
        <v>215</v>
      </c>
      <c r="C40" s="94">
        <v>999000</v>
      </c>
      <c r="D40" s="115" t="s">
        <v>216</v>
      </c>
    </row>
    <row r="41" spans="1:4" ht="15">
      <c r="A41" s="93" t="s">
        <v>194</v>
      </c>
      <c r="B41" s="93" t="s">
        <v>217</v>
      </c>
      <c r="C41" s="94">
        <v>108137075.33</v>
      </c>
      <c r="D41" s="115" t="s">
        <v>139</v>
      </c>
    </row>
    <row r="42" spans="1:4" ht="15.75" thickBot="1">
      <c r="A42" s="93"/>
      <c r="B42" s="102" t="s">
        <v>229</v>
      </c>
      <c r="C42" s="103">
        <f>SUM(C34:C41)</f>
        <v>123015614.33</v>
      </c>
      <c r="D42" s="115"/>
    </row>
    <row r="43" spans="1:4" ht="15.75" thickTop="1">
      <c r="A43" s="93"/>
      <c r="B43" s="93"/>
      <c r="C43" s="94"/>
      <c r="D43" s="115"/>
    </row>
    <row r="44" spans="1:4" ht="15">
      <c r="A44" s="93"/>
      <c r="B44" s="93"/>
      <c r="C44" s="94"/>
      <c r="D44" s="115"/>
    </row>
    <row r="45" spans="1:4" ht="15.75" thickBot="1">
      <c r="A45" s="93"/>
      <c r="B45" s="93"/>
      <c r="C45" s="94"/>
      <c r="D45" s="115"/>
    </row>
    <row r="46" spans="1:4" ht="16.5" thickBot="1">
      <c r="A46" s="168" t="s">
        <v>218</v>
      </c>
      <c r="B46" s="169"/>
      <c r="C46" s="170"/>
      <c r="D46" s="116"/>
    </row>
    <row r="47" spans="1:4" ht="15.75">
      <c r="A47" s="105" t="s">
        <v>197</v>
      </c>
      <c r="B47" s="105" t="s">
        <v>198</v>
      </c>
      <c r="C47" s="106" t="s">
        <v>199</v>
      </c>
      <c r="D47" s="115"/>
    </row>
    <row r="48" spans="1:4" ht="15">
      <c r="A48" s="93" t="s">
        <v>81</v>
      </c>
      <c r="B48" s="93" t="s">
        <v>213</v>
      </c>
      <c r="C48" s="94">
        <v>1900000</v>
      </c>
      <c r="D48" s="115"/>
    </row>
    <row r="49" spans="1:4" ht="15">
      <c r="A49" s="93" t="s">
        <v>84</v>
      </c>
      <c r="B49" s="93" t="s">
        <v>204</v>
      </c>
      <c r="C49" s="94">
        <v>55550</v>
      </c>
      <c r="D49" s="115"/>
    </row>
    <row r="50" spans="1:4" ht="15">
      <c r="A50" s="93" t="s">
        <v>155</v>
      </c>
      <c r="B50" s="93" t="s">
        <v>205</v>
      </c>
      <c r="C50" s="94">
        <v>9402</v>
      </c>
      <c r="D50" s="115"/>
    </row>
    <row r="51" spans="1:4" ht="15">
      <c r="A51" s="93" t="s">
        <v>83</v>
      </c>
      <c r="B51" s="93" t="s">
        <v>208</v>
      </c>
      <c r="C51" s="94">
        <v>330000</v>
      </c>
      <c r="D51" s="115"/>
    </row>
    <row r="52" spans="1:4" ht="15.75" thickBot="1">
      <c r="A52" s="93"/>
      <c r="B52" s="102" t="s">
        <v>229</v>
      </c>
      <c r="C52" s="103">
        <f>SUM(C48:C51)</f>
        <v>2294952</v>
      </c>
      <c r="D52" s="115"/>
    </row>
    <row r="53" spans="1:4" ht="15.75" thickTop="1">
      <c r="A53" s="93"/>
      <c r="B53" s="93"/>
      <c r="C53" s="94"/>
      <c r="D53" s="115"/>
    </row>
    <row r="54" spans="1:4" ht="15.75" thickBot="1">
      <c r="A54" s="93"/>
      <c r="B54" s="93"/>
      <c r="C54" s="94"/>
      <c r="D54" s="115"/>
    </row>
    <row r="55" spans="1:4" ht="16.5" thickBot="1">
      <c r="A55" s="168" t="s">
        <v>221</v>
      </c>
      <c r="B55" s="169"/>
      <c r="C55" s="170"/>
      <c r="D55" s="116"/>
    </row>
    <row r="56" spans="1:4" ht="15.75">
      <c r="A56" s="105" t="s">
        <v>197</v>
      </c>
      <c r="B56" s="105" t="s">
        <v>198</v>
      </c>
      <c r="C56" s="106" t="s">
        <v>199</v>
      </c>
      <c r="D56" s="115"/>
    </row>
    <row r="57" spans="1:4" ht="15">
      <c r="A57" s="93" t="s">
        <v>134</v>
      </c>
      <c r="B57" s="93" t="s">
        <v>219</v>
      </c>
      <c r="C57" s="94">
        <v>12471589.5</v>
      </c>
      <c r="D57" s="115"/>
    </row>
    <row r="58" spans="1:4" ht="15">
      <c r="A58" s="93" t="s">
        <v>135</v>
      </c>
      <c r="B58" s="93" t="s">
        <v>220</v>
      </c>
      <c r="C58" s="94">
        <v>2124388.5</v>
      </c>
      <c r="D58" s="115"/>
    </row>
    <row r="59" spans="1:4" ht="15">
      <c r="A59" s="93" t="s">
        <v>180</v>
      </c>
      <c r="B59" s="93" t="s">
        <v>222</v>
      </c>
      <c r="C59" s="94">
        <v>3250000</v>
      </c>
      <c r="D59" s="115"/>
    </row>
    <row r="60" spans="1:4" ht="15">
      <c r="A60" s="93" t="s">
        <v>223</v>
      </c>
      <c r="B60" s="93" t="s">
        <v>224</v>
      </c>
      <c r="C60" s="94">
        <v>58601990</v>
      </c>
      <c r="D60" s="115"/>
    </row>
    <row r="61" spans="1:4" ht="15">
      <c r="A61" s="93" t="s">
        <v>180</v>
      </c>
      <c r="B61" s="93" t="s">
        <v>225</v>
      </c>
      <c r="C61" s="94">
        <v>3319930</v>
      </c>
      <c r="D61" s="115"/>
    </row>
    <row r="62" spans="1:4" ht="15">
      <c r="A62" s="93" t="s">
        <v>104</v>
      </c>
      <c r="B62" s="93" t="s">
        <v>202</v>
      </c>
      <c r="C62" s="94">
        <v>1000000</v>
      </c>
      <c r="D62" s="115"/>
    </row>
    <row r="63" spans="1:4" ht="15">
      <c r="A63" s="93" t="s">
        <v>105</v>
      </c>
      <c r="B63" s="93" t="s">
        <v>226</v>
      </c>
      <c r="C63" s="94">
        <v>1000000</v>
      </c>
      <c r="D63" s="115"/>
    </row>
    <row r="64" spans="1:4" ht="15.75" thickBot="1">
      <c r="A64" s="93"/>
      <c r="B64" s="102" t="s">
        <v>229</v>
      </c>
      <c r="C64" s="103">
        <f>SUM(C57:C63)</f>
        <v>81767898</v>
      </c>
      <c r="D64" s="115"/>
    </row>
    <row r="65" spans="1:4" ht="15.75" thickTop="1">
      <c r="A65" s="93"/>
      <c r="B65" s="93"/>
      <c r="C65" s="94"/>
      <c r="D65" s="115"/>
    </row>
    <row r="66" spans="1:4" ht="15.75" thickBot="1">
      <c r="A66" s="93"/>
      <c r="B66" s="93"/>
      <c r="C66" s="94"/>
      <c r="D66" s="115"/>
    </row>
    <row r="67" spans="1:4" ht="16.5" thickBot="1">
      <c r="A67" s="168" t="s">
        <v>227</v>
      </c>
      <c r="B67" s="169"/>
      <c r="C67" s="170"/>
      <c r="D67" s="116"/>
    </row>
    <row r="68" spans="1:4" ht="15.75">
      <c r="A68" s="105" t="s">
        <v>197</v>
      </c>
      <c r="B68" s="105" t="s">
        <v>198</v>
      </c>
      <c r="C68" s="106" t="s">
        <v>199</v>
      </c>
      <c r="D68" s="115"/>
    </row>
    <row r="69" spans="1:4" ht="15">
      <c r="A69" s="93" t="s">
        <v>81</v>
      </c>
      <c r="B69" s="93" t="s">
        <v>213</v>
      </c>
      <c r="C69" s="94">
        <v>2525205.62</v>
      </c>
      <c r="D69" s="115"/>
    </row>
    <row r="70" spans="1:4" ht="15">
      <c r="A70" s="93" t="s">
        <v>104</v>
      </c>
      <c r="B70" s="93" t="s">
        <v>202</v>
      </c>
      <c r="C70" s="94">
        <v>1000000</v>
      </c>
      <c r="D70" s="115"/>
    </row>
    <row r="71" spans="1:4" ht="15">
      <c r="A71" s="93" t="s">
        <v>105</v>
      </c>
      <c r="B71" s="93" t="s">
        <v>226</v>
      </c>
      <c r="C71" s="94">
        <v>1000000</v>
      </c>
      <c r="D71" s="115"/>
    </row>
    <row r="72" spans="2:3" ht="15.75" thickBot="1">
      <c r="B72" s="91" t="s">
        <v>229</v>
      </c>
      <c r="C72" s="90">
        <f>SUM(C69:C71)</f>
        <v>4525205.62</v>
      </c>
    </row>
    <row r="73" ht="15.75" thickTop="1"/>
    <row r="74" spans="2:3" ht="15.75" thickBot="1">
      <c r="B74" s="91" t="s">
        <v>228</v>
      </c>
      <c r="C74" s="92">
        <f>+C72+C64+C52+C42+C29+C20+C14</f>
        <v>286460892.27</v>
      </c>
    </row>
    <row r="75" ht="15.75" thickTop="1"/>
    <row r="78" ht="15.75" thickBot="1"/>
    <row r="79" spans="1:3" ht="16.5" thickBot="1">
      <c r="A79" s="171" t="s">
        <v>231</v>
      </c>
      <c r="B79" s="172"/>
      <c r="C79" s="173"/>
    </row>
    <row r="80" spans="1:3" ht="15">
      <c r="A80" s="107" t="s">
        <v>81</v>
      </c>
      <c r="B80" s="107" t="s">
        <v>213</v>
      </c>
      <c r="C80" s="108">
        <f>+C69+C48+C34</f>
        <v>11535705.620000001</v>
      </c>
    </row>
    <row r="81" spans="1:3" ht="15">
      <c r="A81" s="96" t="s">
        <v>195</v>
      </c>
      <c r="B81" s="96" t="s">
        <v>214</v>
      </c>
      <c r="C81" s="97">
        <v>4995000</v>
      </c>
    </row>
    <row r="82" spans="1:3" ht="15">
      <c r="A82" s="98" t="s">
        <v>83</v>
      </c>
      <c r="B82" s="98" t="s">
        <v>208</v>
      </c>
      <c r="C82" s="99">
        <v>801900</v>
      </c>
    </row>
    <row r="83" spans="1:3" ht="15">
      <c r="A83" s="98" t="s">
        <v>177</v>
      </c>
      <c r="B83" s="98" t="s">
        <v>215</v>
      </c>
      <c r="C83" s="99">
        <v>999000</v>
      </c>
    </row>
    <row r="84" spans="1:3" ht="15">
      <c r="A84" s="96" t="s">
        <v>84</v>
      </c>
      <c r="B84" s="96" t="s">
        <v>204</v>
      </c>
      <c r="C84" s="99">
        <f>+C49+C36+C26</f>
        <v>319710</v>
      </c>
    </row>
    <row r="85" spans="1:3" ht="15">
      <c r="A85" s="96" t="s">
        <v>155</v>
      </c>
      <c r="B85" s="96" t="s">
        <v>205</v>
      </c>
      <c r="C85" s="99">
        <f>+C50+C37+C27</f>
        <v>50791</v>
      </c>
    </row>
    <row r="86" spans="1:3" ht="15">
      <c r="A86" s="96" t="s">
        <v>83</v>
      </c>
      <c r="B86" s="96" t="s">
        <v>208</v>
      </c>
      <c r="C86" s="99">
        <f>+C51+C35</f>
        <v>1209590</v>
      </c>
    </row>
    <row r="87" spans="1:3" ht="15">
      <c r="A87" s="96" t="s">
        <v>194</v>
      </c>
      <c r="B87" s="96" t="s">
        <v>217</v>
      </c>
      <c r="C87" s="97">
        <v>108137075.33</v>
      </c>
    </row>
    <row r="88" spans="1:3" ht="15">
      <c r="A88" s="96" t="s">
        <v>97</v>
      </c>
      <c r="B88" s="96" t="s">
        <v>201</v>
      </c>
      <c r="C88" s="97">
        <v>2682842.32</v>
      </c>
    </row>
    <row r="89" spans="1:3" ht="15">
      <c r="A89" s="96" t="s">
        <v>134</v>
      </c>
      <c r="B89" s="96" t="s">
        <v>219</v>
      </c>
      <c r="C89" s="97">
        <v>12471589.5</v>
      </c>
    </row>
    <row r="90" spans="1:3" ht="15">
      <c r="A90" s="96" t="s">
        <v>135</v>
      </c>
      <c r="B90" s="96" t="s">
        <v>220</v>
      </c>
      <c r="C90" s="97">
        <v>2124388.5</v>
      </c>
    </row>
    <row r="91" spans="1:3" ht="15">
      <c r="A91" s="96" t="s">
        <v>180</v>
      </c>
      <c r="B91" s="96" t="s">
        <v>225</v>
      </c>
      <c r="C91" s="97">
        <f>+C61+C59</f>
        <v>6569930</v>
      </c>
    </row>
    <row r="92" spans="1:3" ht="15">
      <c r="A92" s="96" t="s">
        <v>104</v>
      </c>
      <c r="B92" s="96" t="s">
        <v>202</v>
      </c>
      <c r="C92" s="97">
        <f>+C70+C62+C25</f>
        <v>2252310</v>
      </c>
    </row>
    <row r="93" spans="1:3" ht="15">
      <c r="A93" s="96" t="s">
        <v>105</v>
      </c>
      <c r="B93" s="96" t="s">
        <v>226</v>
      </c>
      <c r="C93" s="97">
        <f>+C71+C63</f>
        <v>2000000</v>
      </c>
    </row>
    <row r="94" spans="1:3" ht="15">
      <c r="A94" s="96" t="s">
        <v>187</v>
      </c>
      <c r="B94" s="96" t="s">
        <v>200</v>
      </c>
      <c r="C94" s="97">
        <v>68775000</v>
      </c>
    </row>
    <row r="95" spans="1:3" ht="15">
      <c r="A95" s="96" t="s">
        <v>206</v>
      </c>
      <c r="B95" s="96" t="s">
        <v>207</v>
      </c>
      <c r="C95" s="97">
        <v>2934070</v>
      </c>
    </row>
    <row r="96" spans="1:3" ht="15">
      <c r="A96" s="96" t="s">
        <v>223</v>
      </c>
      <c r="B96" s="96" t="s">
        <v>224</v>
      </c>
      <c r="C96" s="97">
        <v>58601990</v>
      </c>
    </row>
    <row r="97" spans="1:3" ht="15.75" thickBot="1">
      <c r="A97" s="100"/>
      <c r="B97" s="101" t="s">
        <v>230</v>
      </c>
      <c r="C97" s="90">
        <f>SUM(C80:C96)</f>
        <v>286460892.27</v>
      </c>
    </row>
    <row r="98" ht="15.75" thickTop="1"/>
    <row r="99" ht="15.75" thickBot="1"/>
    <row r="100" spans="1:3" ht="16.5" thickBot="1">
      <c r="A100" s="171" t="s">
        <v>231</v>
      </c>
      <c r="B100" s="172"/>
      <c r="C100" s="173"/>
    </row>
    <row r="101" spans="1:7" ht="15">
      <c r="A101" s="107" t="s">
        <v>81</v>
      </c>
      <c r="B101" s="107" t="s">
        <v>213</v>
      </c>
      <c r="C101" s="123">
        <f>86640281.62+86640281.62+84115076+84115076+82215076+82215076+82215076+82215076+75104576+75191421+75191421</f>
        <v>895858437.24</v>
      </c>
      <c r="D101" s="119" t="s">
        <v>249</v>
      </c>
      <c r="E101" s="119" t="s">
        <v>250</v>
      </c>
      <c r="F101" s="119" t="s">
        <v>251</v>
      </c>
      <c r="G101" s="119" t="s">
        <v>252</v>
      </c>
    </row>
    <row r="102" spans="1:8" ht="15">
      <c r="A102" s="96" t="s">
        <v>195</v>
      </c>
      <c r="B102" s="96" t="s">
        <v>235</v>
      </c>
      <c r="C102" s="99">
        <v>4995000</v>
      </c>
      <c r="D102" s="113">
        <v>15387090</v>
      </c>
      <c r="E102" s="119">
        <v>75191421</v>
      </c>
      <c r="F102" s="119">
        <v>1235000</v>
      </c>
      <c r="G102" s="119">
        <v>192000</v>
      </c>
      <c r="H102" t="s">
        <v>239</v>
      </c>
    </row>
    <row r="103" spans="1:8" ht="15">
      <c r="A103" s="98" t="s">
        <v>83</v>
      </c>
      <c r="B103" s="98" t="s">
        <v>208</v>
      </c>
      <c r="C103" s="99">
        <v>801900</v>
      </c>
      <c r="D103" s="113">
        <v>15387090</v>
      </c>
      <c r="E103" s="119">
        <v>75191421</v>
      </c>
      <c r="F103" s="119">
        <v>1235000</v>
      </c>
      <c r="G103" s="119">
        <v>192000</v>
      </c>
      <c r="H103" t="s">
        <v>241</v>
      </c>
    </row>
    <row r="104" spans="1:8" ht="15">
      <c r="A104" s="98" t="s">
        <v>177</v>
      </c>
      <c r="B104" s="98" t="s">
        <v>215</v>
      </c>
      <c r="C104" s="99">
        <v>999000</v>
      </c>
      <c r="D104" s="113">
        <v>15639400</v>
      </c>
      <c r="E104" s="119">
        <v>75104576</v>
      </c>
      <c r="F104" s="119">
        <v>1420000</v>
      </c>
      <c r="G104" s="119">
        <v>220000</v>
      </c>
      <c r="H104" t="s">
        <v>240</v>
      </c>
    </row>
    <row r="105" spans="1:8" ht="15">
      <c r="A105" s="96" t="s">
        <v>84</v>
      </c>
      <c r="B105" s="96" t="s">
        <v>204</v>
      </c>
      <c r="C105" s="99">
        <f>1554710+1554710+1554710+1554710+1499160+1499160+1499160+1499160+1420000+1235000+1235000</f>
        <v>16105480</v>
      </c>
      <c r="D105" s="113">
        <v>16518990</v>
      </c>
      <c r="E105" s="119">
        <v>82215076</v>
      </c>
      <c r="F105" s="119">
        <v>1499160</v>
      </c>
      <c r="G105" s="119">
        <v>233398</v>
      </c>
      <c r="H105" t="s">
        <v>242</v>
      </c>
    </row>
    <row r="106" spans="1:8" ht="15">
      <c r="A106" s="96" t="s">
        <v>155</v>
      </c>
      <c r="B106" s="96" t="s">
        <v>205</v>
      </c>
      <c r="C106" s="99">
        <f>242800+242800+242800+242800+233398+233398+233398+233398+220000+192000+192000</f>
        <v>2508792</v>
      </c>
      <c r="D106" s="113">
        <v>16518990</v>
      </c>
      <c r="E106" s="119">
        <v>82215076</v>
      </c>
      <c r="F106" s="119">
        <v>1499160</v>
      </c>
      <c r="G106" s="119">
        <v>233398</v>
      </c>
      <c r="H106" t="s">
        <v>243</v>
      </c>
    </row>
    <row r="107" spans="1:8" ht="15">
      <c r="A107" s="96" t="s">
        <v>194</v>
      </c>
      <c r="B107" s="96" t="s">
        <v>234</v>
      </c>
      <c r="C107" s="99">
        <v>108137017.73</v>
      </c>
      <c r="D107" s="113">
        <v>16518990</v>
      </c>
      <c r="E107" s="119">
        <v>82215076</v>
      </c>
      <c r="F107" s="119">
        <v>1499160</v>
      </c>
      <c r="G107" s="119">
        <v>233398</v>
      </c>
      <c r="H107" t="s">
        <v>244</v>
      </c>
    </row>
    <row r="108" spans="1:8" ht="15">
      <c r="A108" s="96" t="s">
        <v>97</v>
      </c>
      <c r="B108" s="96" t="s">
        <v>236</v>
      </c>
      <c r="C108" s="99">
        <v>2682842.32</v>
      </c>
      <c r="D108" s="113">
        <v>16518990</v>
      </c>
      <c r="E108" s="119">
        <v>82215076</v>
      </c>
      <c r="F108" s="119">
        <v>1499160</v>
      </c>
      <c r="G108" s="119">
        <v>233398</v>
      </c>
      <c r="H108" t="s">
        <v>245</v>
      </c>
    </row>
    <row r="109" spans="1:8" ht="15">
      <c r="A109" s="96" t="s">
        <v>134</v>
      </c>
      <c r="B109" s="96" t="s">
        <v>233</v>
      </c>
      <c r="C109" s="99">
        <v>12471589.5</v>
      </c>
      <c r="D109" s="113">
        <v>16848990</v>
      </c>
      <c r="E109" s="119">
        <v>84115076</v>
      </c>
      <c r="F109" s="119">
        <v>1554710</v>
      </c>
      <c r="G109" s="119">
        <v>242800</v>
      </c>
      <c r="H109" t="s">
        <v>246</v>
      </c>
    </row>
    <row r="110" spans="1:8" ht="15">
      <c r="A110" s="96" t="s">
        <v>135</v>
      </c>
      <c r="B110" s="96" t="s">
        <v>220</v>
      </c>
      <c r="C110" s="99">
        <v>5124388.5</v>
      </c>
      <c r="D110" s="113">
        <v>16848990</v>
      </c>
      <c r="E110" s="119">
        <v>84115076</v>
      </c>
      <c r="F110" s="119">
        <v>1554710</v>
      </c>
      <c r="G110" s="119">
        <v>242800</v>
      </c>
      <c r="H110" t="s">
        <v>247</v>
      </c>
    </row>
    <row r="111" spans="1:8" ht="15">
      <c r="A111" s="96" t="s">
        <v>180</v>
      </c>
      <c r="B111" s="96" t="s">
        <v>232</v>
      </c>
      <c r="C111" s="99">
        <f>3319930+3250000</f>
        <v>6569930</v>
      </c>
      <c r="D111" s="113">
        <v>16848990</v>
      </c>
      <c r="E111" s="119">
        <v>86640281.62</v>
      </c>
      <c r="F111" s="119">
        <v>1554710</v>
      </c>
      <c r="G111" s="119">
        <v>242800</v>
      </c>
      <c r="H111" t="s">
        <v>248</v>
      </c>
    </row>
    <row r="112" spans="1:8" ht="17.25">
      <c r="A112" s="96" t="s">
        <v>104</v>
      </c>
      <c r="B112" s="96" t="s">
        <v>202</v>
      </c>
      <c r="C112" s="99">
        <f>1000000+1000000+1000000+1000000</f>
        <v>4000000</v>
      </c>
      <c r="D112" s="117">
        <v>16848990</v>
      </c>
      <c r="E112" s="117">
        <v>86640281.62</v>
      </c>
      <c r="F112" s="117">
        <v>1554710</v>
      </c>
      <c r="G112" s="117">
        <v>242800</v>
      </c>
      <c r="H112" t="s">
        <v>238</v>
      </c>
    </row>
    <row r="113" spans="1:8" ht="17.25">
      <c r="A113" s="96" t="s">
        <v>105</v>
      </c>
      <c r="B113" s="96" t="s">
        <v>226</v>
      </c>
      <c r="C113" s="99">
        <f>1000000+1000000+1000000+1000000</f>
        <v>4000000</v>
      </c>
      <c r="D113" s="118">
        <f>SUM(D102:D112)</f>
        <v>179885500</v>
      </c>
      <c r="E113" s="118">
        <f>SUM(E102:E112)</f>
        <v>895858437.24</v>
      </c>
      <c r="F113" s="118">
        <f>SUM(F102:F112)</f>
        <v>16105480</v>
      </c>
      <c r="G113" s="118">
        <f>SUM(G102:G112)</f>
        <v>2508792</v>
      </c>
      <c r="H113" t="s">
        <v>254</v>
      </c>
    </row>
    <row r="114" spans="1:7" ht="15">
      <c r="A114" s="96" t="s">
        <v>187</v>
      </c>
      <c r="B114" s="96" t="s">
        <v>237</v>
      </c>
      <c r="C114" s="99">
        <v>68775000</v>
      </c>
      <c r="D114" s="120">
        <f>15387090*11</f>
        <v>169257990</v>
      </c>
      <c r="E114" s="119">
        <f>+E102*11</f>
        <v>827105631</v>
      </c>
      <c r="F114" s="119">
        <f>+F102*11</f>
        <v>13585000</v>
      </c>
      <c r="G114" s="119">
        <f>+G102*11</f>
        <v>2112000</v>
      </c>
    </row>
    <row r="115" spans="1:8" ht="15">
      <c r="A115" s="96" t="s">
        <v>206</v>
      </c>
      <c r="B115" s="96" t="s">
        <v>207</v>
      </c>
      <c r="C115" s="99">
        <v>2934070</v>
      </c>
      <c r="D115" s="121">
        <f>+D113-D114</f>
        <v>10627510</v>
      </c>
      <c r="E115" s="121">
        <f>+E113-E114</f>
        <v>68752806.24000001</v>
      </c>
      <c r="F115" s="121">
        <f>+F113-F114</f>
        <v>2520480</v>
      </c>
      <c r="G115" s="121">
        <f>+G113-G114</f>
        <v>396792</v>
      </c>
      <c r="H115" s="122" t="s">
        <v>253</v>
      </c>
    </row>
    <row r="116" spans="1:3" ht="15">
      <c r="A116" s="96" t="s">
        <v>223</v>
      </c>
      <c r="B116" s="96" t="s">
        <v>224</v>
      </c>
      <c r="C116" s="99">
        <v>58601990</v>
      </c>
    </row>
    <row r="117" spans="1:4" ht="15">
      <c r="A117" s="109" t="s">
        <v>157</v>
      </c>
      <c r="B117" s="23" t="s">
        <v>255</v>
      </c>
      <c r="C117" s="40">
        <v>32000000</v>
      </c>
      <c r="D117" s="119"/>
    </row>
    <row r="118" spans="1:3" ht="15.75" thickBot="1">
      <c r="A118" s="100"/>
      <c r="B118" s="101" t="s">
        <v>230</v>
      </c>
      <c r="C118" s="90">
        <f>+C101+C102+C103+C104+C105+C106+C107+C108+C109+C110+C111+C112+C113+C114+C115+C116+C117</f>
        <v>1226565437.29</v>
      </c>
    </row>
    <row r="119" ht="15.75" thickTop="1"/>
    <row r="120" ht="15.75" thickBot="1">
      <c r="C120" s="92">
        <f>+C118+D113</f>
        <v>1406450937.29</v>
      </c>
    </row>
    <row r="121" ht="15.75" thickTop="1"/>
  </sheetData>
  <sheetProtection/>
  <mergeCells count="15">
    <mergeCell ref="A32:C32"/>
    <mergeCell ref="A46:C46"/>
    <mergeCell ref="A9:C9"/>
    <mergeCell ref="A100:C100"/>
    <mergeCell ref="A8:C8"/>
    <mergeCell ref="A7:C7"/>
    <mergeCell ref="A55:C55"/>
    <mergeCell ref="A67:C67"/>
    <mergeCell ref="A79:C79"/>
    <mergeCell ref="B3:B4"/>
    <mergeCell ref="A17:D17"/>
    <mergeCell ref="A6:C6"/>
    <mergeCell ref="A5:C5"/>
    <mergeCell ref="A11:C11"/>
    <mergeCell ref="A23:C23"/>
  </mergeCells>
  <printOptions/>
  <pageMargins left="0.29" right="0.36" top="0.43" bottom="0.75" header="0.21" footer="0.3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kenya.mercedes</dc:creator>
  <cp:keywords/>
  <dc:description/>
  <cp:lastModifiedBy>juan.melo</cp:lastModifiedBy>
  <cp:lastPrinted>2022-06-03T21:10:27Z</cp:lastPrinted>
  <dcterms:created xsi:type="dcterms:W3CDTF">2019-01-09T20:58:22Z</dcterms:created>
  <dcterms:modified xsi:type="dcterms:W3CDTF">2022-06-03T21:12:01Z</dcterms:modified>
  <cp:category/>
  <cp:version/>
  <cp:contentType/>
  <cp:contentStatus/>
</cp:coreProperties>
</file>